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Инф. о МДК (прил. 1)" sheetId="1" state="visible" r:id="rId2"/>
    <sheet name="Примечания 1" sheetId="2" state="visible" r:id="rId3"/>
    <sheet name="ТЭ (прил.2.1)" sheetId="3" state="visible" r:id="rId4"/>
    <sheet name="ЭЭ (прил.2.2)" sheetId="4" state="visible" r:id="rId5"/>
  </sheets>
  <definedNames>
    <definedName function="false" hidden="false" localSheetId="0" name="_xlnm.Print_Area" vbProcedure="false">'Инф. о МДК (прил. 1)'!$A$1:$AL$638</definedName>
    <definedName function="false" hidden="false" localSheetId="0" name="_xlnm.Print_Titles" vbProcedure="false">'Инф. о МДК (прил. 1)'!$A:$J</definedName>
    <definedName function="false" hidden="true" localSheetId="0" name="_xlnm._FilterDatabase" vbProcedure="false">'Инф. о МДК (прил. 1)'!$A$7:$AL$639</definedName>
    <definedName function="false" hidden="false" localSheetId="1" name="_xlnm.Print_Area" vbProcedure="false">'Примечания 1'!$A$1:$Q$41</definedName>
    <definedName function="false" hidden="false" localSheetId="1" name="_xlnm.Print_Titles" vbProcedure="false">'Примечания 1'!$A:$J</definedName>
    <definedName function="false" hidden="true" localSheetId="2" name="_xlnm._FilterDatabase" vbProcedure="false">'ТЭ (прил.2.1)'!$A$5:$AZ$577</definedName>
    <definedName function="false" hidden="false" localSheetId="0" name="_xlnm.Print_Area" vbProcedure="false">'Инф. о МДК (прил. 1)'!$A$1:$AL$638</definedName>
    <definedName function="false" hidden="false" localSheetId="0" name="_xlnm.Print_Area_0" vbProcedure="false">'Инф. о МДК (прил. 1)'!$A$1:$AL$638</definedName>
    <definedName function="false" hidden="false" localSheetId="0" name="_xlnm.Print_Area_0_0" vbProcedure="false">'Инф. о МДК (прил. 1)'!$A$1:$AL$638</definedName>
    <definedName function="false" hidden="false" localSheetId="0" name="_xlnm.Print_Titles" vbProcedure="false">'Инф. о МДК (прил. 1)'!$A:$J</definedName>
    <definedName function="false" hidden="false" localSheetId="0" name="_xlnm.Print_Titles_0" vbProcedure="false">'Инф. о МДК (прил. 1)'!$A:$J</definedName>
    <definedName function="false" hidden="false" localSheetId="0" name="_xlnm.Print_Titles_0_0" vbProcedure="false">'Инф. о МДК (прил. 1)'!$A:$J</definedName>
    <definedName function="false" hidden="false" localSheetId="0" name="_xlnm._FilterDatabase" vbProcedure="false">'Инф. о МДК (прил. 1)'!$A$7:$AL$639</definedName>
    <definedName function="false" hidden="false" localSheetId="0" name="_xlnm._FilterDatabase_0" vbProcedure="false">'Инф. о МДК (прил. 1)'!$A$7:$AL$639</definedName>
    <definedName function="false" hidden="false" localSheetId="0" name="_xlnm._FilterDatabase_0_0" vbProcedure="false">'Инф. о МДК (прил. 1)'!$A$7:$AL$639</definedName>
    <definedName function="false" hidden="false" localSheetId="1" name="_xlnm.Print_Area" vbProcedure="false">'Примечания 1'!$A$1:$Q$41</definedName>
    <definedName function="false" hidden="false" localSheetId="1" name="_xlnm.Print_Area_0" vbProcedure="false">'Примечания 1'!$A$1:$Q$41</definedName>
    <definedName function="false" hidden="false" localSheetId="1" name="_xlnm.Print_Area_0_0" vbProcedure="false">'Примечания 1'!$A$1:$Q$41</definedName>
    <definedName function="false" hidden="false" localSheetId="1" name="_xlnm.Print_Titles" vbProcedure="false">'Примечания 1'!$A:$J</definedName>
    <definedName function="false" hidden="false" localSheetId="1" name="_xlnm.Print_Titles_0" vbProcedure="false">'Примечания 1'!$A:$J</definedName>
    <definedName function="false" hidden="false" localSheetId="1" name="_xlnm.Print_Titles_0_0" vbProcedure="false">'Примечания 1'!$A:$J</definedName>
    <definedName function="false" hidden="false" localSheetId="2" name="_xlnm._FilterDatabase" vbProcedure="false">'ТЭ (прил.2.1)'!$A$5:$AZ$577</definedName>
    <definedName function="false" hidden="false" localSheetId="2" name="_xlnm._FilterDatabase_0" vbProcedure="false">'ТЭ (прил.2.1)'!$A$5:$AZ$577</definedName>
    <definedName function="false" hidden="false" localSheetId="2" name="_xlnm._FilterDatabase_0_0" vbProcedure="false">'ТЭ (прил.2.1)'!$A$5:$AZ$577</definedName>
  </definedNames>
  <calcPr iterateCount="100" refMode="A1" iterate="false" iterateDelta="0.0001"/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C227">
      <text>
        <r>
          <rPr>
            <rFont val="Tahoma"/>
            <charset val="204"/>
            <family val="2"/>
            <b val="true"/>
            <color rgb="FF000000"/>
            <sz val="9"/>
          </rPr>
          <t xml:space="preserve">kalininasa:
</t>
        </r>
      </text>
    </comment>
    <comment authorId="0" ref="C1191">
      <text>
        <r>
          <rPr>
            <rFont val="Tahoma"/>
            <charset val="204"/>
            <family val="2"/>
            <b val="true"/>
            <color rgb="FF000000"/>
            <sz val="9"/>
          </rPr>
          <t xml:space="preserve">kalininasa:
</t>
        </r>
      </text>
    </comment>
  </commentList>
</comments>
</file>

<file path=xl/sharedStrings.xml><?xml version="1.0" encoding="utf-8"?>
<sst xmlns="http://schemas.openxmlformats.org/spreadsheetml/2006/main" count="32522" uniqueCount="1068">
  <si>
    <t>Приложение № 1</t>
  </si>
  <si>
    <t>Общие характеристики многоквартирных домов (МКД) на территории</t>
  </si>
  <si>
    <t>___________________________________ района</t>
  </si>
  <si>
    <t>Графы "2"-"10" заполнять по всем многоквартирным домам района</t>
  </si>
  <si>
    <t>№ п/п</t>
  </si>
  <si>
    <t>Адрес МКД</t>
  </si>
  <si>
    <t>Технические характеристики МКД</t>
  </si>
  <si>
    <t>Количество общедомовых приборов учета энергоресурсов на вводах, шт.</t>
  </si>
  <si>
    <t>Комментарии</t>
  </si>
  <si>
    <t>Район</t>
  </si>
  <si>
    <t>муниципальное образование</t>
  </si>
  <si>
    <t>Улица</t>
  </si>
  <si>
    <t>Номер</t>
  </si>
  <si>
    <t>Номер корпуса (литера)</t>
  </si>
  <si>
    <t>Номер строения</t>
  </si>
  <si>
    <t>Уникаль ный код дома</t>
  </si>
  <si>
    <t>Форма управления МКД</t>
  </si>
  <si>
    <t>Категория дома: ведомственный / общежитие / гостиничного типа / на сцепке / аварийный / культ. наследия</t>
  </si>
  <si>
    <t>Тип дома</t>
  </si>
  <si>
    <t>Серия дома</t>
  </si>
  <si>
    <t>Год по стройки</t>
  </si>
  <si>
    <t>Тип стен</t>
  </si>
  <si>
    <t>Количество этажей (при разной этажности указать через "/", начиная с 1-ой парадной)</t>
  </si>
  <si>
    <t>Кол-во подземных этажей (при разной этажности указать через "/", начиная с 1-ой парадной)</t>
  </si>
  <si>
    <t>Кол-во парадных</t>
  </si>
  <si>
    <t>Кол-во квартир</t>
  </si>
  <si>
    <t>Общая площадь дома</t>
  </si>
  <si>
    <t>Общая отапливаемая площадь дома</t>
  </si>
  <si>
    <t>Площадь жилых помещений</t>
  </si>
  <si>
    <t>Площадь  нежилых помещений (за искл, мест общего пользования)</t>
  </si>
  <si>
    <t>Электоэнергия (да/нет)</t>
  </si>
  <si>
    <t>ХВС
(да/нет)</t>
  </si>
  <si>
    <t>ГВС
(да/нет)</t>
  </si>
  <si>
    <t>Водоотведение (да/нет)</t>
  </si>
  <si>
    <t>Отопление (да/нет)</t>
  </si>
  <si>
    <t>Газоснабжение (да/нет)</t>
  </si>
  <si>
    <t>Оснащение газ. колонками (да/нет)</t>
  </si>
  <si>
    <t>Оснащение газ.плитами
(да/нет)</t>
  </si>
  <si>
    <t>Оснащение электроплитами
(да/нет)</t>
  </si>
  <si>
    <t>Кол-во лифтов дома, шт.</t>
  </si>
  <si>
    <t>ЭЭ</t>
  </si>
  <si>
    <t>ХВС</t>
  </si>
  <si>
    <t>ГВС</t>
  </si>
  <si>
    <t>ТЭ</t>
  </si>
  <si>
    <t>Газ</t>
  </si>
  <si>
    <t>Петродворцовый</t>
  </si>
  <si>
    <t>Муниципальное образование г.Ломоносов</t>
  </si>
  <si>
    <t>1-я Нижняя улица</t>
  </si>
  <si>
    <t>14_000001</t>
  </si>
  <si>
    <t>Организация с гос.участием</t>
  </si>
  <si>
    <t>Хрущевка</t>
  </si>
  <si>
    <t>индивидуальный</t>
  </si>
  <si>
    <t>Кирпичные</t>
  </si>
  <si>
    <t>да</t>
  </si>
  <si>
    <t>нет</t>
  </si>
  <si>
    <t>14_000002</t>
  </si>
  <si>
    <t>орг-ия с гос. участием</t>
  </si>
  <si>
    <t>другое</t>
  </si>
  <si>
    <t>кирпичные</t>
  </si>
  <si>
    <t>Муниципальное образование г. Петергоф</t>
  </si>
  <si>
    <t>Аврова улица</t>
  </si>
  <si>
    <t>14_000003</t>
  </si>
  <si>
    <t>14_000004</t>
  </si>
  <si>
    <t>14_000005</t>
  </si>
  <si>
    <t>хрущевка</t>
  </si>
  <si>
    <t>1-528КП-82</t>
  </si>
  <si>
    <t>14_000006</t>
  </si>
  <si>
    <t>А</t>
  </si>
  <si>
    <t>14_000007</t>
  </si>
  <si>
    <t>Б</t>
  </si>
  <si>
    <t>14_000008</t>
  </si>
  <si>
    <t>14_000009</t>
  </si>
  <si>
    <t>14_000010</t>
  </si>
  <si>
    <t>14_000011</t>
  </si>
  <si>
    <t>14_000012</t>
  </si>
  <si>
    <t>14_000013</t>
  </si>
  <si>
    <t>14_000014</t>
  </si>
  <si>
    <t>14_000015</t>
  </si>
  <si>
    <t>14_000016</t>
  </si>
  <si>
    <t>17/1</t>
  </si>
  <si>
    <t>14_000017</t>
  </si>
  <si>
    <t>сталинка</t>
  </si>
  <si>
    <t>1/2,2/3,3/3,4/3,5/2</t>
  </si>
  <si>
    <t>14_000018</t>
  </si>
  <si>
    <t>14_000019</t>
  </si>
  <si>
    <t>14_000020</t>
  </si>
  <si>
    <t>аварийный</t>
  </si>
  <si>
    <t>14_000021</t>
  </si>
  <si>
    <t>14_000022</t>
  </si>
  <si>
    <t>Александровская улица</t>
  </si>
  <si>
    <t>14_000023</t>
  </si>
  <si>
    <t>9/21</t>
  </si>
  <si>
    <t>14_000024</t>
  </si>
  <si>
    <t>15/14</t>
  </si>
  <si>
    <t>14_000025</t>
  </si>
  <si>
    <t>14_000026</t>
  </si>
  <si>
    <t>20/16</t>
  </si>
  <si>
    <t>14_000027</t>
  </si>
  <si>
    <t>22/17</t>
  </si>
  <si>
    <t>14_000028</t>
  </si>
  <si>
    <t>14_000029</t>
  </si>
  <si>
    <t>кирпичный</t>
  </si>
  <si>
    <t>14_000030</t>
  </si>
  <si>
    <t>1-447</t>
  </si>
  <si>
    <t>14_000031</t>
  </si>
  <si>
    <t>14_000032</t>
  </si>
  <si>
    <t>14_000033</t>
  </si>
  <si>
    <t>14_000034</t>
  </si>
  <si>
    <t>панельные</t>
  </si>
  <si>
    <t>14_000035</t>
  </si>
  <si>
    <t>14_000036</t>
  </si>
  <si>
    <t>14_000037</t>
  </si>
  <si>
    <t>14_000038</t>
  </si>
  <si>
    <t>В</t>
  </si>
  <si>
    <t>14_000039</t>
  </si>
  <si>
    <t>14_000040</t>
  </si>
  <si>
    <t>14_000041</t>
  </si>
  <si>
    <t>14_000042</t>
  </si>
  <si>
    <t>14_000043</t>
  </si>
  <si>
    <t>14_000044</t>
  </si>
  <si>
    <t>14_000045</t>
  </si>
  <si>
    <t>14_000046</t>
  </si>
  <si>
    <t>14_000047</t>
  </si>
  <si>
    <t>Блан-Менильская улица</t>
  </si>
  <si>
    <t>14_000048</t>
  </si>
  <si>
    <t>14_000049</t>
  </si>
  <si>
    <t>14_000050</t>
  </si>
  <si>
    <t>14_000051</t>
  </si>
  <si>
    <t>14_000052</t>
  </si>
  <si>
    <t>Бобыльская дорога</t>
  </si>
  <si>
    <t>14_000057</t>
  </si>
  <si>
    <t>ЧУО</t>
  </si>
  <si>
    <t>1/6,2/7,3/7,4/6</t>
  </si>
  <si>
    <t>Суворовская улица</t>
  </si>
  <si>
    <t>14_000518</t>
  </si>
  <si>
    <t>14_000053</t>
  </si>
  <si>
    <t>14_000054</t>
  </si>
  <si>
    <t>14_000055</t>
  </si>
  <si>
    <t>панельный</t>
  </si>
  <si>
    <t>1/4,2/4,3/6,4/6,5/6,6/6,7/6,8/6,9/6,10/6,11/6,12/4,13/4</t>
  </si>
  <si>
    <t>14_000056</t>
  </si>
  <si>
    <t>1/4,2/4,3/6,4/6,5/6</t>
  </si>
  <si>
    <t>14_000058</t>
  </si>
  <si>
    <t>1/6,2/6,3/6,4/4,5/4,6/6,7/6,8/6,9/4,10/4,11/4</t>
  </si>
  <si>
    <t>Богумиловская улица</t>
  </si>
  <si>
    <t>14_000059</t>
  </si>
  <si>
    <t>14_000060</t>
  </si>
  <si>
    <t>14_000061</t>
  </si>
  <si>
    <t>Бородачева улица</t>
  </si>
  <si>
    <t>14_000062</t>
  </si>
  <si>
    <t>14_000063</t>
  </si>
  <si>
    <t>Ботаническая улица</t>
  </si>
  <si>
    <t>14_000064</t>
  </si>
  <si>
    <t>14_000065</t>
  </si>
  <si>
    <t>14_000066</t>
  </si>
  <si>
    <t>14_000067</t>
  </si>
  <si>
    <t>14_000068</t>
  </si>
  <si>
    <t>14_000069</t>
  </si>
  <si>
    <t>14_000070</t>
  </si>
  <si>
    <t>14_000071</t>
  </si>
  <si>
    <t>14_000072</t>
  </si>
  <si>
    <t>14_000073</t>
  </si>
  <si>
    <t>14_000074</t>
  </si>
  <si>
    <t>14_000075</t>
  </si>
  <si>
    <t>14_000076</t>
  </si>
  <si>
    <t>14_000077</t>
  </si>
  <si>
    <t>14_000078</t>
  </si>
  <si>
    <t>14_000079</t>
  </si>
  <si>
    <t>14_000080</t>
  </si>
  <si>
    <t>14_000081</t>
  </si>
  <si>
    <t>14_000082</t>
  </si>
  <si>
    <t>14_000083</t>
  </si>
  <si>
    <t>14_000084</t>
  </si>
  <si>
    <t>14_000085</t>
  </si>
  <si>
    <t>1/5,2/5,3/5,4/7</t>
  </si>
  <si>
    <t>Братьев Горкушенко улица</t>
  </si>
  <si>
    <t>14_000086</t>
  </si>
  <si>
    <t>14_000087</t>
  </si>
  <si>
    <t>14_000088</t>
  </si>
  <si>
    <t>14_000089</t>
  </si>
  <si>
    <t>14_000090</t>
  </si>
  <si>
    <t>14_000091</t>
  </si>
  <si>
    <t>14_000092</t>
  </si>
  <si>
    <t>16/24</t>
  </si>
  <si>
    <t>14_000093</t>
  </si>
  <si>
    <t>14_000094</t>
  </si>
  <si>
    <t>22/31</t>
  </si>
  <si>
    <t>14_000095</t>
  </si>
  <si>
    <t>Веденеева улица</t>
  </si>
  <si>
    <t>14_000096</t>
  </si>
  <si>
    <t>Владимирская улица</t>
  </si>
  <si>
    <t>14_000097</t>
  </si>
  <si>
    <t>14_000098</t>
  </si>
  <si>
    <t>14_000099</t>
  </si>
  <si>
    <t>20/2</t>
  </si>
  <si>
    <t>14_000100</t>
  </si>
  <si>
    <t>14_000101</t>
  </si>
  <si>
    <t>14_000102</t>
  </si>
  <si>
    <t>14_000103</t>
  </si>
  <si>
    <t>14_000104</t>
  </si>
  <si>
    <t>14_000105</t>
  </si>
  <si>
    <t>14_000106</t>
  </si>
  <si>
    <t>14_000107</t>
  </si>
  <si>
    <t>14_000108</t>
  </si>
  <si>
    <t>14_000109</t>
  </si>
  <si>
    <t>14_000110</t>
  </si>
  <si>
    <t>Муниципалньное образование пос. Стрельна</t>
  </si>
  <si>
    <t>Вокзальная улица</t>
  </si>
  <si>
    <t>14_000111</t>
  </si>
  <si>
    <t>14_000112</t>
  </si>
  <si>
    <t>Муниципальное образование пос. Стрельна</t>
  </si>
  <si>
    <t>14_000113</t>
  </si>
  <si>
    <t>14_000114</t>
  </si>
  <si>
    <t>14_000115</t>
  </si>
  <si>
    <t>14_000116</t>
  </si>
  <si>
    <t>Володи Дубинина улица</t>
  </si>
  <si>
    <t>14_000117</t>
  </si>
  <si>
    <t>14_000118</t>
  </si>
  <si>
    <t>14_000119</t>
  </si>
  <si>
    <t>14_000120</t>
  </si>
  <si>
    <t>14_000121</t>
  </si>
  <si>
    <t>14_000122</t>
  </si>
  <si>
    <t>14_000123</t>
  </si>
  <si>
    <t>14_000124</t>
  </si>
  <si>
    <t>Гоголя улица</t>
  </si>
  <si>
    <t>14_000125</t>
  </si>
  <si>
    <t>14_000126</t>
  </si>
  <si>
    <t>14_000127</t>
  </si>
  <si>
    <t>14_000128</t>
  </si>
  <si>
    <t>14_000129</t>
  </si>
  <si>
    <t>14_000519</t>
  </si>
  <si>
    <t>14_000130</t>
  </si>
  <si>
    <t>14_000131</t>
  </si>
  <si>
    <t>14_000132</t>
  </si>
  <si>
    <t>Гостилицкая улица</t>
  </si>
  <si>
    <t>14_000133</t>
  </si>
  <si>
    <t>14_000134</t>
  </si>
  <si>
    <t>14_000135</t>
  </si>
  <si>
    <t>Гостилицкое шоссе</t>
  </si>
  <si>
    <t>14_000136</t>
  </si>
  <si>
    <t>1/5,2/7,3/9,4/9,5/7,6/5</t>
  </si>
  <si>
    <t>14_000137</t>
  </si>
  <si>
    <t>14_000138</t>
  </si>
  <si>
    <t>14_000139</t>
  </si>
  <si>
    <t>14_000140</t>
  </si>
  <si>
    <t>14_000141</t>
  </si>
  <si>
    <t>1/9,2/7,3/5</t>
  </si>
  <si>
    <t>14_000142</t>
  </si>
  <si>
    <t>14_000143</t>
  </si>
  <si>
    <t>Грибоедова улица</t>
  </si>
  <si>
    <t>14_000144</t>
  </si>
  <si>
    <t>14_000145</t>
  </si>
  <si>
    <t>14_000146</t>
  </si>
  <si>
    <t>14_000147</t>
  </si>
  <si>
    <t>14_000148</t>
  </si>
  <si>
    <t>Дашкевича улица</t>
  </si>
  <si>
    <t>14_000149</t>
  </si>
  <si>
    <t>14_000150</t>
  </si>
  <si>
    <t>14_000151</t>
  </si>
  <si>
    <t>14_000152</t>
  </si>
  <si>
    <t>11А/9</t>
  </si>
  <si>
    <t>14_000153</t>
  </si>
  <si>
    <t>Дворцовый проспект</t>
  </si>
  <si>
    <t>14_000154</t>
  </si>
  <si>
    <t>14_000155</t>
  </si>
  <si>
    <t>14_000156</t>
  </si>
  <si>
    <t>Муниципальное образование г. Ломоносов</t>
  </si>
  <si>
    <t>14_000157</t>
  </si>
  <si>
    <t>14_000158</t>
  </si>
  <si>
    <t>43/6</t>
  </si>
  <si>
    <t>14_000159</t>
  </si>
  <si>
    <t>14_000160</t>
  </si>
  <si>
    <t>14_000161</t>
  </si>
  <si>
    <t>14_000162</t>
  </si>
  <si>
    <t>55/8</t>
  </si>
  <si>
    <t>14_000163</t>
  </si>
  <si>
    <t>14_000164</t>
  </si>
  <si>
    <t>Дегтярева улица</t>
  </si>
  <si>
    <t>14_000165</t>
  </si>
  <si>
    <t>14_000166</t>
  </si>
  <si>
    <t>Еленинская улица</t>
  </si>
  <si>
    <t>9/1</t>
  </si>
  <si>
    <t>14_000167</t>
  </si>
  <si>
    <t>14_000168</t>
  </si>
  <si>
    <t>27/10</t>
  </si>
  <si>
    <t>14_000169</t>
  </si>
  <si>
    <t>14_000170</t>
  </si>
  <si>
    <t>14_000171</t>
  </si>
  <si>
    <t>Жарновецкого улица</t>
  </si>
  <si>
    <t>14_000172</t>
  </si>
  <si>
    <t>14_000173</t>
  </si>
  <si>
    <t>14_000174</t>
  </si>
  <si>
    <t>14_000175</t>
  </si>
  <si>
    <t>Жертв Революции площадь</t>
  </si>
  <si>
    <t>14_000176</t>
  </si>
  <si>
    <t>Жилой городок</t>
  </si>
  <si>
    <t>14_000177</t>
  </si>
  <si>
    <t>14_000178</t>
  </si>
  <si>
    <t>14_000179</t>
  </si>
  <si>
    <t>14_000180</t>
  </si>
  <si>
    <t>Жоры Антоненко улица</t>
  </si>
  <si>
    <t>14_000181</t>
  </si>
  <si>
    <t>14_000182</t>
  </si>
  <si>
    <t>14_000183</t>
  </si>
  <si>
    <t>14_000184</t>
  </si>
  <si>
    <t>14_000185</t>
  </si>
  <si>
    <t>14_000186</t>
  </si>
  <si>
    <t>Зверинская улица</t>
  </si>
  <si>
    <t>14_000187</t>
  </si>
  <si>
    <t>14_000188</t>
  </si>
  <si>
    <t>14_000189</t>
  </si>
  <si>
    <t>Знаменская улица</t>
  </si>
  <si>
    <t>14_000190</t>
  </si>
  <si>
    <t>1/2,2/2,3/2,4/3</t>
  </si>
  <si>
    <t>Иликовский проспект</t>
  </si>
  <si>
    <t>14_000191</t>
  </si>
  <si>
    <t>14_000192</t>
  </si>
  <si>
    <t>14_000193</t>
  </si>
  <si>
    <t>14_000194</t>
  </si>
  <si>
    <t>14_000195</t>
  </si>
  <si>
    <t>30/2</t>
  </si>
  <si>
    <t>14_000196</t>
  </si>
  <si>
    <t>Конно-гренадерская улица</t>
  </si>
  <si>
    <t>14_000197</t>
  </si>
  <si>
    <t>14_000198</t>
  </si>
  <si>
    <t>14_000199</t>
  </si>
  <si>
    <t>Константиновская улица</t>
  </si>
  <si>
    <t>14_000200</t>
  </si>
  <si>
    <t>14_000201</t>
  </si>
  <si>
    <t>14_000202</t>
  </si>
  <si>
    <t>14/11</t>
  </si>
  <si>
    <t>14_000203</t>
  </si>
  <si>
    <t>14_000204</t>
  </si>
  <si>
    <t>23/13</t>
  </si>
  <si>
    <t>14_000205</t>
  </si>
  <si>
    <t>Костылева улица</t>
  </si>
  <si>
    <t>10/19</t>
  </si>
  <si>
    <t>14_000206</t>
  </si>
  <si>
    <t>14_000207</t>
  </si>
  <si>
    <t>14_000208</t>
  </si>
  <si>
    <t>14_000209</t>
  </si>
  <si>
    <t>14_000210</t>
  </si>
  <si>
    <t>Красноармейская улица</t>
  </si>
  <si>
    <t>14_000211</t>
  </si>
  <si>
    <t>14_000212</t>
  </si>
  <si>
    <t>14_000213</t>
  </si>
  <si>
    <t>14_000214</t>
  </si>
  <si>
    <t>14_000215</t>
  </si>
  <si>
    <t>14_000216</t>
  </si>
  <si>
    <t>14_000217</t>
  </si>
  <si>
    <t>14_000218</t>
  </si>
  <si>
    <t>14_000219</t>
  </si>
  <si>
    <t>14_000220</t>
  </si>
  <si>
    <t>14_000221</t>
  </si>
  <si>
    <t>Красного Флота улица</t>
  </si>
  <si>
    <t>14_000222</t>
  </si>
  <si>
    <t>14_000223</t>
  </si>
  <si>
    <t>14_000224</t>
  </si>
  <si>
    <t>14_000225</t>
  </si>
  <si>
    <t>14_000226</t>
  </si>
  <si>
    <t>14_000227</t>
  </si>
  <si>
    <t>14_000228</t>
  </si>
  <si>
    <t>Красного Флота улицад</t>
  </si>
  <si>
    <t>14_000229</t>
  </si>
  <si>
    <t>14_000230</t>
  </si>
  <si>
    <t>9/46</t>
  </si>
  <si>
    <t>14_000231</t>
  </si>
  <si>
    <t>20/41</t>
  </si>
  <si>
    <t>14_000232</t>
  </si>
  <si>
    <t>14_000233</t>
  </si>
  <si>
    <t>14_000234</t>
  </si>
  <si>
    <t>Красных Курсантов бульвар</t>
  </si>
  <si>
    <t>14_000235</t>
  </si>
  <si>
    <t>14_000236</t>
  </si>
  <si>
    <t>14_000237</t>
  </si>
  <si>
    <t>14_000238</t>
  </si>
  <si>
    <t>14_000239</t>
  </si>
  <si>
    <t>Кронштадтская улица</t>
  </si>
  <si>
    <t>14_000240</t>
  </si>
  <si>
    <t>14_000241</t>
  </si>
  <si>
    <t>6/49</t>
  </si>
  <si>
    <t>14_000242</t>
  </si>
  <si>
    <t>14_000243</t>
  </si>
  <si>
    <t>Кропоткинская улица</t>
  </si>
  <si>
    <t>14_000244</t>
  </si>
  <si>
    <t>14_000245</t>
  </si>
  <si>
    <t>14_000246</t>
  </si>
  <si>
    <t>16/15</t>
  </si>
  <si>
    <t>14_000247</t>
  </si>
  <si>
    <t>Лихардовская улица</t>
  </si>
  <si>
    <t>14_000248</t>
  </si>
  <si>
    <t>Лодыгина улица</t>
  </si>
  <si>
    <t>10/8</t>
  </si>
  <si>
    <t>14_000249</t>
  </si>
  <si>
    <t>14_000250</t>
  </si>
  <si>
    <t>Ломоносова улица</t>
  </si>
  <si>
    <t>14_000251</t>
  </si>
  <si>
    <t>14_000252</t>
  </si>
  <si>
    <t>14_000253</t>
  </si>
  <si>
    <t>14_000254</t>
  </si>
  <si>
    <t>14_000255</t>
  </si>
  <si>
    <t>Львовская улица</t>
  </si>
  <si>
    <t>14_000256</t>
  </si>
  <si>
    <t>14_000257</t>
  </si>
  <si>
    <t>14_000258</t>
  </si>
  <si>
    <t>14_000259</t>
  </si>
  <si>
    <t>14_000260</t>
  </si>
  <si>
    <t>5/7</t>
  </si>
  <si>
    <t>Мастеровой переулок</t>
  </si>
  <si>
    <t>14_000261</t>
  </si>
  <si>
    <t>Михайловская улица</t>
  </si>
  <si>
    <t>14_000262</t>
  </si>
  <si>
    <t>14_000263</t>
  </si>
  <si>
    <t>14_000264</t>
  </si>
  <si>
    <t>14_000265</t>
  </si>
  <si>
    <t>10/2</t>
  </si>
  <si>
    <t>14_000266</t>
  </si>
  <si>
    <t>14_000267</t>
  </si>
  <si>
    <t>14_000268</t>
  </si>
  <si>
    <t>24/22</t>
  </si>
  <si>
    <t>14_000269</t>
  </si>
  <si>
    <t>Морская улица</t>
  </si>
  <si>
    <t>14_000270</t>
  </si>
  <si>
    <t>14_000271</t>
  </si>
  <si>
    <t>Нагорная улица</t>
  </si>
  <si>
    <t>14_000272</t>
  </si>
  <si>
    <t>14_000273</t>
  </si>
  <si>
    <t>Некрасова улица</t>
  </si>
  <si>
    <t>14_000274</t>
  </si>
  <si>
    <t>14_000275</t>
  </si>
  <si>
    <t>Никольская улица</t>
  </si>
  <si>
    <t>14_000276</t>
  </si>
  <si>
    <t>14_000277</t>
  </si>
  <si>
    <t>14_000278</t>
  </si>
  <si>
    <t>14_000279</t>
  </si>
  <si>
    <t>14_000280</t>
  </si>
  <si>
    <t>Озерковая улица</t>
  </si>
  <si>
    <t>14_000281</t>
  </si>
  <si>
    <t>14_000282</t>
  </si>
  <si>
    <t>14_000283</t>
  </si>
  <si>
    <t>14_000284</t>
  </si>
  <si>
    <t>14_000285</t>
  </si>
  <si>
    <t>14_000286</t>
  </si>
  <si>
    <t>14_000287</t>
  </si>
  <si>
    <t>14_000288</t>
  </si>
  <si>
    <t>14_000289</t>
  </si>
  <si>
    <t>14_000290</t>
  </si>
  <si>
    <t>14_000291</t>
  </si>
  <si>
    <t>14_000292</t>
  </si>
  <si>
    <t>14_000293</t>
  </si>
  <si>
    <t>14_000294</t>
  </si>
  <si>
    <t>600 (1-ЛГ-600)</t>
  </si>
  <si>
    <t>14_000295</t>
  </si>
  <si>
    <t>14_000296</t>
  </si>
  <si>
    <t>14_000297</t>
  </si>
  <si>
    <t>14_000298</t>
  </si>
  <si>
    <t>14_000299</t>
  </si>
  <si>
    <t>14_000300</t>
  </si>
  <si>
    <t>14_000301</t>
  </si>
  <si>
    <t>14_000302</t>
  </si>
  <si>
    <t>14_000303</t>
  </si>
  <si>
    <t>14_000304</t>
  </si>
  <si>
    <t>14_000305</t>
  </si>
  <si>
    <t>14_000306</t>
  </si>
  <si>
    <t>14_000307</t>
  </si>
  <si>
    <t>14_000308</t>
  </si>
  <si>
    <t>14_000309</t>
  </si>
  <si>
    <t>14_000310</t>
  </si>
  <si>
    <t>14_000311</t>
  </si>
  <si>
    <t>Ораниенбаумский проспект</t>
  </si>
  <si>
    <t>14_000312</t>
  </si>
  <si>
    <t>14_000313</t>
  </si>
  <si>
    <t>14_000314</t>
  </si>
  <si>
    <t>14_000315</t>
  </si>
  <si>
    <t>14_000316</t>
  </si>
  <si>
    <t>14_000317</t>
  </si>
  <si>
    <t>14_000318</t>
  </si>
  <si>
    <t>14_000319</t>
  </si>
  <si>
    <t>14_000320</t>
  </si>
  <si>
    <t>14_000321</t>
  </si>
  <si>
    <t>14_000322</t>
  </si>
  <si>
    <t>14_000323</t>
  </si>
  <si>
    <t>14_000324</t>
  </si>
  <si>
    <t>14_000325</t>
  </si>
  <si>
    <t>14_000326</t>
  </si>
  <si>
    <t>14_000327</t>
  </si>
  <si>
    <t>14_000328</t>
  </si>
  <si>
    <t>14_000329</t>
  </si>
  <si>
    <t>14_000330</t>
  </si>
  <si>
    <t>Ораниенбаумское шоссе</t>
  </si>
  <si>
    <t>14_000331</t>
  </si>
  <si>
    <t>Орловская улица</t>
  </si>
  <si>
    <t>14_000332</t>
  </si>
  <si>
    <t>14_000333</t>
  </si>
  <si>
    <t>6/7</t>
  </si>
  <si>
    <t>14_000334</t>
  </si>
  <si>
    <t>14_000335</t>
  </si>
  <si>
    <t>14_000336</t>
  </si>
  <si>
    <t>14_000337</t>
  </si>
  <si>
    <t>Петергофская улица</t>
  </si>
  <si>
    <t>7/2</t>
  </si>
  <si>
    <t>14_000338</t>
  </si>
  <si>
    <t>9/2</t>
  </si>
  <si>
    <t>14_000339</t>
  </si>
  <si>
    <t>14_000340</t>
  </si>
  <si>
    <t>Петровский переулок</t>
  </si>
  <si>
    <t>3/13</t>
  </si>
  <si>
    <t>14_000341</t>
  </si>
  <si>
    <t>14_000342</t>
  </si>
  <si>
    <t>Победы улица</t>
  </si>
  <si>
    <t>14_000343</t>
  </si>
  <si>
    <t>14_000344</t>
  </si>
  <si>
    <t>14_000345</t>
  </si>
  <si>
    <t>14_000346</t>
  </si>
  <si>
    <t>14_000347</t>
  </si>
  <si>
    <t>14_000348</t>
  </si>
  <si>
    <t>14_000349</t>
  </si>
  <si>
    <t>1-527</t>
  </si>
  <si>
    <t>14_000350</t>
  </si>
  <si>
    <t>14_000351</t>
  </si>
  <si>
    <t>14_000352</t>
  </si>
  <si>
    <t>14_000353</t>
  </si>
  <si>
    <t>14_000354</t>
  </si>
  <si>
    <t>16/12</t>
  </si>
  <si>
    <t>14_000355</t>
  </si>
  <si>
    <t>14_000356</t>
  </si>
  <si>
    <t>14_000357</t>
  </si>
  <si>
    <t>14_000358</t>
  </si>
  <si>
    <t>14_000359</t>
  </si>
  <si>
    <t>22/7</t>
  </si>
  <si>
    <t>14_000360</t>
  </si>
  <si>
    <t>14_000361</t>
  </si>
  <si>
    <t>14_000362</t>
  </si>
  <si>
    <t>14_000363</t>
  </si>
  <si>
    <t>14_000364</t>
  </si>
  <si>
    <t>14_000365</t>
  </si>
  <si>
    <t>Попова улица</t>
  </si>
  <si>
    <t>14_000366</t>
  </si>
  <si>
    <t>14_000367</t>
  </si>
  <si>
    <t>14_000368</t>
  </si>
  <si>
    <t>Почтовый переулок</t>
  </si>
  <si>
    <t>14_000369</t>
  </si>
  <si>
    <t>14_000370</t>
  </si>
  <si>
    <t>Профсоюзная улица</t>
  </si>
  <si>
    <t>14_000371</t>
  </si>
  <si>
    <t>14_000372</t>
  </si>
  <si>
    <t>14_000373</t>
  </si>
  <si>
    <t>Прудовая улица</t>
  </si>
  <si>
    <t>14_000374</t>
  </si>
  <si>
    <t>14_000375</t>
  </si>
  <si>
    <t>Пулеметчиков улица</t>
  </si>
  <si>
    <t>14_000376</t>
  </si>
  <si>
    <t>Путешественника Козлова улица</t>
  </si>
  <si>
    <t>2/5</t>
  </si>
  <si>
    <t>14_000377</t>
  </si>
  <si>
    <t>14_000378</t>
  </si>
  <si>
    <t>14_000379</t>
  </si>
  <si>
    <t>14_000380</t>
  </si>
  <si>
    <t>14_000381</t>
  </si>
  <si>
    <t>14_000382</t>
  </si>
  <si>
    <t>14_000383</t>
  </si>
  <si>
    <t>14_000384</t>
  </si>
  <si>
    <t>14_000385</t>
  </si>
  <si>
    <t>14_000386</t>
  </si>
  <si>
    <t>14_000387</t>
  </si>
  <si>
    <t>14_000388</t>
  </si>
  <si>
    <t>14_000389</t>
  </si>
  <si>
    <t>14_000390</t>
  </si>
  <si>
    <t>14_000391</t>
  </si>
  <si>
    <t>Разведчика бульвар</t>
  </si>
  <si>
    <t>14_000392</t>
  </si>
  <si>
    <t>14_000393</t>
  </si>
  <si>
    <t>14_000394</t>
  </si>
  <si>
    <t>14_000395</t>
  </si>
  <si>
    <t>14_000396</t>
  </si>
  <si>
    <t>14_000397</t>
  </si>
  <si>
    <t>14_000398</t>
  </si>
  <si>
    <t>14_000399</t>
  </si>
  <si>
    <t>14_000400</t>
  </si>
  <si>
    <t>14_000401</t>
  </si>
  <si>
    <t>14_000402</t>
  </si>
  <si>
    <t>14_000403</t>
  </si>
  <si>
    <t>14_000404</t>
  </si>
  <si>
    <t>14_000405</t>
  </si>
  <si>
    <t>14_000406</t>
  </si>
  <si>
    <t>14_000407</t>
  </si>
  <si>
    <t>14_000408</t>
  </si>
  <si>
    <t>14_000409</t>
  </si>
  <si>
    <t>14_000410</t>
  </si>
  <si>
    <t>14_000411</t>
  </si>
  <si>
    <t>Разводная улица</t>
  </si>
  <si>
    <t>14_000412</t>
  </si>
  <si>
    <t>14_000413</t>
  </si>
  <si>
    <t>11/50</t>
  </si>
  <si>
    <t>14_000414</t>
  </si>
  <si>
    <t>14_000415</t>
  </si>
  <si>
    <t>14_000416</t>
  </si>
  <si>
    <t>14_000417</t>
  </si>
  <si>
    <t>14_000418</t>
  </si>
  <si>
    <t>14_000419</t>
  </si>
  <si>
    <t>14_000420</t>
  </si>
  <si>
    <t>14_000421</t>
  </si>
  <si>
    <t>14_000422</t>
  </si>
  <si>
    <t>Ропшинское шоссе</t>
  </si>
  <si>
    <t>14_000423</t>
  </si>
  <si>
    <t>14_000424</t>
  </si>
  <si>
    <t>14_000425</t>
  </si>
  <si>
    <t>14_000426</t>
  </si>
  <si>
    <t>14_000427</t>
  </si>
  <si>
    <t>14_000428</t>
  </si>
  <si>
    <t>14_000429</t>
  </si>
  <si>
    <t>14_000430</t>
  </si>
  <si>
    <t>14_000431</t>
  </si>
  <si>
    <t>14_000432</t>
  </si>
  <si>
    <t>Рубакина улица</t>
  </si>
  <si>
    <t>14_000433</t>
  </si>
  <si>
    <t>Самсониевская улица</t>
  </si>
  <si>
    <t>14_000434</t>
  </si>
  <si>
    <t>14_000435</t>
  </si>
  <si>
    <t>Санкт-Петербургский проспект</t>
  </si>
  <si>
    <t>14_000436</t>
  </si>
  <si>
    <t>8/9</t>
  </si>
  <si>
    <t>14_000437</t>
  </si>
  <si>
    <t>14_000438</t>
  </si>
  <si>
    <t>14_000439</t>
  </si>
  <si>
    <t>14_000440</t>
  </si>
  <si>
    <t>14_000441</t>
  </si>
  <si>
    <t>14_000442</t>
  </si>
  <si>
    <t>14_000443</t>
  </si>
  <si>
    <t>14_000444</t>
  </si>
  <si>
    <t>14_000445</t>
  </si>
  <si>
    <t>14_000446</t>
  </si>
  <si>
    <t>14_000447</t>
  </si>
  <si>
    <t>14_000448</t>
  </si>
  <si>
    <t>14_000449</t>
  </si>
  <si>
    <t>14_000450</t>
  </si>
  <si>
    <t>14_000451</t>
  </si>
  <si>
    <t>14_000452</t>
  </si>
  <si>
    <t>14_000453</t>
  </si>
  <si>
    <t>14_000454</t>
  </si>
  <si>
    <t>14_000455</t>
  </si>
  <si>
    <t>49/9</t>
  </si>
  <si>
    <t>14_000456</t>
  </si>
  <si>
    <t>14_000457</t>
  </si>
  <si>
    <t>14_000458</t>
  </si>
  <si>
    <t>14_000459</t>
  </si>
  <si>
    <t>14_000460</t>
  </si>
  <si>
    <t>1/3,2/4,3/4,4/3</t>
  </si>
  <si>
    <t>14_000461</t>
  </si>
  <si>
    <t>Санкт-Петербургское шоссе</t>
  </si>
  <si>
    <t>14_000462</t>
  </si>
  <si>
    <t>14_000463</t>
  </si>
  <si>
    <t>14_000464</t>
  </si>
  <si>
    <t>14_000465</t>
  </si>
  <si>
    <t>14_000466</t>
  </si>
  <si>
    <t>14_000467</t>
  </si>
  <si>
    <t>14_000468</t>
  </si>
  <si>
    <t>67/2</t>
  </si>
  <si>
    <t>14_000469</t>
  </si>
  <si>
    <t>68/2</t>
  </si>
  <si>
    <t>14_000470</t>
  </si>
  <si>
    <t>14_000471</t>
  </si>
  <si>
    <t>культурного наследия</t>
  </si>
  <si>
    <t>Санкт-Петербургское шоссед</t>
  </si>
  <si>
    <t>14_000472</t>
  </si>
  <si>
    <t>14_000473</t>
  </si>
  <si>
    <t>14_000474</t>
  </si>
  <si>
    <t>14_000475</t>
  </si>
  <si>
    <t>14_000476</t>
  </si>
  <si>
    <t>14_000477</t>
  </si>
  <si>
    <t>14_000478</t>
  </si>
  <si>
    <t>14_000479</t>
  </si>
  <si>
    <t>14_000480</t>
  </si>
  <si>
    <t>14_000481</t>
  </si>
  <si>
    <t>106/2</t>
  </si>
  <si>
    <t>14_000482</t>
  </si>
  <si>
    <t>Сафронова улица</t>
  </si>
  <si>
    <t>14_000483</t>
  </si>
  <si>
    <t>14_000484</t>
  </si>
  <si>
    <t>14_000485</t>
  </si>
  <si>
    <t>14_000486</t>
  </si>
  <si>
    <t>14_000487</t>
  </si>
  <si>
    <t>14_000488</t>
  </si>
  <si>
    <t>14_000489</t>
  </si>
  <si>
    <t>14_000490</t>
  </si>
  <si>
    <t>14_000491</t>
  </si>
  <si>
    <t>Скуридина улица</t>
  </si>
  <si>
    <t>14_000492</t>
  </si>
  <si>
    <t>14_000493</t>
  </si>
  <si>
    <t>14_000494</t>
  </si>
  <si>
    <t>14_000495</t>
  </si>
  <si>
    <t>14_000496</t>
  </si>
  <si>
    <t>Слободская улица</t>
  </si>
  <si>
    <t>14_000497</t>
  </si>
  <si>
    <t>Собственный проспект</t>
  </si>
  <si>
    <t>14_000498</t>
  </si>
  <si>
    <t>14_000499</t>
  </si>
  <si>
    <t>14_000500</t>
  </si>
  <si>
    <t>14_000501</t>
  </si>
  <si>
    <t>Стрельнинская улица</t>
  </si>
  <si>
    <t>14_000502</t>
  </si>
  <si>
    <t>14_000503</t>
  </si>
  <si>
    <t>14_000504</t>
  </si>
  <si>
    <t>14_000505</t>
  </si>
  <si>
    <t>14_000506</t>
  </si>
  <si>
    <t>14_000507</t>
  </si>
  <si>
    <t>14_000508</t>
  </si>
  <si>
    <t>14_000509</t>
  </si>
  <si>
    <t>14_000510</t>
  </si>
  <si>
    <t>14_000511</t>
  </si>
  <si>
    <t>14_000512</t>
  </si>
  <si>
    <t>14_000513</t>
  </si>
  <si>
    <t>14_000514</t>
  </si>
  <si>
    <t>14_000515</t>
  </si>
  <si>
    <t>14_000516</t>
  </si>
  <si>
    <t>14_000517</t>
  </si>
  <si>
    <t>14_000520</t>
  </si>
  <si>
    <t>14_000521</t>
  </si>
  <si>
    <t>14_000522</t>
  </si>
  <si>
    <t>Суворовцев переулок</t>
  </si>
  <si>
    <t>14_000523</t>
  </si>
  <si>
    <t>14_000524</t>
  </si>
  <si>
    <t>14_000525</t>
  </si>
  <si>
    <t>14_000526</t>
  </si>
  <si>
    <t>14_000527</t>
  </si>
  <si>
    <t>14_000528</t>
  </si>
  <si>
    <t>Токарева улица</t>
  </si>
  <si>
    <t>14_000529</t>
  </si>
  <si>
    <t>14_000530</t>
  </si>
  <si>
    <t>Торговая площадь</t>
  </si>
  <si>
    <t>14_000531</t>
  </si>
  <si>
    <t>14_000532</t>
  </si>
  <si>
    <t>ул. Суворовская</t>
  </si>
  <si>
    <t>14_000533</t>
  </si>
  <si>
    <t>14_000534</t>
  </si>
  <si>
    <t>Федюнинского улица</t>
  </si>
  <si>
    <t>14_000535</t>
  </si>
  <si>
    <t>14_000536</t>
  </si>
  <si>
    <t>14_000537</t>
  </si>
  <si>
    <t>14_000538</t>
  </si>
  <si>
    <t>14_000539</t>
  </si>
  <si>
    <t>14_000540</t>
  </si>
  <si>
    <t>14_000541</t>
  </si>
  <si>
    <t>14_000542</t>
  </si>
  <si>
    <t>14_000543</t>
  </si>
  <si>
    <t>Фронтовая улица</t>
  </si>
  <si>
    <t>14_000544</t>
  </si>
  <si>
    <t>Халтурина улица</t>
  </si>
  <si>
    <t>14_000545</t>
  </si>
  <si>
    <t>14_000546</t>
  </si>
  <si>
    <t>14_000547</t>
  </si>
  <si>
    <t>14_000548</t>
  </si>
  <si>
    <t>15/4</t>
  </si>
  <si>
    <t>14_000549</t>
  </si>
  <si>
    <t>Чебышевская улица</t>
  </si>
  <si>
    <t>14_000550</t>
  </si>
  <si>
    <t>1/5,2/7,3/9,4/7,5/5</t>
  </si>
  <si>
    <t>14_000551</t>
  </si>
  <si>
    <t>2/13</t>
  </si>
  <si>
    <t>14_000552</t>
  </si>
  <si>
    <t>14_000553</t>
  </si>
  <si>
    <t>1/7,2/5,3/5,4/5,5/9</t>
  </si>
  <si>
    <t>14_000554</t>
  </si>
  <si>
    <t>14_000555</t>
  </si>
  <si>
    <t>1/5,2/7</t>
  </si>
  <si>
    <t>14_000556</t>
  </si>
  <si>
    <t>1/7,2/9</t>
  </si>
  <si>
    <t>14_000557</t>
  </si>
  <si>
    <t>1/7,2/7,3/7,4/5,5/5</t>
  </si>
  <si>
    <t>6/12</t>
  </si>
  <si>
    <t>14_000558</t>
  </si>
  <si>
    <t>1/5,2/5,3/5,4/7,5/9</t>
  </si>
  <si>
    <t>14_000559</t>
  </si>
  <si>
    <t>1/9,2/9,3/6,4/6</t>
  </si>
  <si>
    <t>14_000560</t>
  </si>
  <si>
    <t>1/7,2/7,3/7,4/5,5/5,6/5,7/5,8/5</t>
  </si>
  <si>
    <t>14_000561</t>
  </si>
  <si>
    <t>14_000562</t>
  </si>
  <si>
    <t>14_000563</t>
  </si>
  <si>
    <t>14_000564</t>
  </si>
  <si>
    <t>1/7,2/5,3/5</t>
  </si>
  <si>
    <t>14_000565</t>
  </si>
  <si>
    <t>1/9,2/9,3/6,4/6,5/6,6/6,7/6,8/9,9/9,10/9</t>
  </si>
  <si>
    <t>14_000566</t>
  </si>
  <si>
    <t>14_000567</t>
  </si>
  <si>
    <t>14_000568</t>
  </si>
  <si>
    <t>1/7,2/7,3/5,4/9,5/9,6/9</t>
  </si>
  <si>
    <t>14_000569</t>
  </si>
  <si>
    <t>1/7,2/7,3/9,4/9,5/9</t>
  </si>
  <si>
    <t>Чичеринская улица</t>
  </si>
  <si>
    <t>14_000570</t>
  </si>
  <si>
    <t>14_000571</t>
  </si>
  <si>
    <t>14_000572</t>
  </si>
  <si>
    <t>1/7,2/7,3/7,4/5</t>
  </si>
  <si>
    <t>14_000573</t>
  </si>
  <si>
    <t>1/7,2/9,3/9</t>
  </si>
  <si>
    <t>14_000574</t>
  </si>
  <si>
    <t>14_000575</t>
  </si>
  <si>
    <t>1/7,2/7,3/5</t>
  </si>
  <si>
    <t>14_000576</t>
  </si>
  <si>
    <t>14_000577</t>
  </si>
  <si>
    <t>14_000578</t>
  </si>
  <si>
    <t>14_000579</t>
  </si>
  <si>
    <t>14_000580</t>
  </si>
  <si>
    <t>14_000581</t>
  </si>
  <si>
    <t>14_000582</t>
  </si>
  <si>
    <t>Шахматова улица</t>
  </si>
  <si>
    <t>14_000583</t>
  </si>
  <si>
    <t>14_000584</t>
  </si>
  <si>
    <t>14_000585</t>
  </si>
  <si>
    <t>1/7,2/5,3/5,4/7,5/9</t>
  </si>
  <si>
    <t>14_000586</t>
  </si>
  <si>
    <t>14_000587</t>
  </si>
  <si>
    <t>14_000588</t>
  </si>
  <si>
    <t>1/9,2/9,3/6,4/6,5/6</t>
  </si>
  <si>
    <t>14_000589</t>
  </si>
  <si>
    <t>14_000590</t>
  </si>
  <si>
    <t>14_000591</t>
  </si>
  <si>
    <t>14_000592</t>
  </si>
  <si>
    <t>14_000593</t>
  </si>
  <si>
    <t>1/9,2/9,3/6,4/6,5/6,6/4</t>
  </si>
  <si>
    <t>14_000594</t>
  </si>
  <si>
    <t>1/9,2/9,3/6,4/6,5/6,6/6,7/6,8/6,9/9,10/9</t>
  </si>
  <si>
    <t>14_000595</t>
  </si>
  <si>
    <t>14_000596</t>
  </si>
  <si>
    <t>Швейцарская улица</t>
  </si>
  <si>
    <t>14_000597</t>
  </si>
  <si>
    <t>14_000598</t>
  </si>
  <si>
    <t>14_000599</t>
  </si>
  <si>
    <t>14_000600</t>
  </si>
  <si>
    <t>14_000601</t>
  </si>
  <si>
    <t>14_000602</t>
  </si>
  <si>
    <t>14_000603</t>
  </si>
  <si>
    <t>14_000604</t>
  </si>
  <si>
    <t>14_000605</t>
  </si>
  <si>
    <t>14_000606</t>
  </si>
  <si>
    <t>14_000607</t>
  </si>
  <si>
    <t>14_000608</t>
  </si>
  <si>
    <t>14_000609</t>
  </si>
  <si>
    <t>Широкая улица</t>
  </si>
  <si>
    <t>14_000610</t>
  </si>
  <si>
    <t>Эйхенская улица</t>
  </si>
  <si>
    <t>3/8</t>
  </si>
  <si>
    <t>14_000611</t>
  </si>
  <si>
    <t>14_000612</t>
  </si>
  <si>
    <t>14_000613</t>
  </si>
  <si>
    <t>13/10</t>
  </si>
  <si>
    <t>14_000614</t>
  </si>
  <si>
    <t>14_000615</t>
  </si>
  <si>
    <t>14_000616</t>
  </si>
  <si>
    <t>14_000617</t>
  </si>
  <si>
    <t>Эрлеровский бульвар</t>
  </si>
  <si>
    <t>14_000618</t>
  </si>
  <si>
    <t>14_000619</t>
  </si>
  <si>
    <t>14_000620</t>
  </si>
  <si>
    <t>14_000621</t>
  </si>
  <si>
    <t>14_000622</t>
  </si>
  <si>
    <t>14_000623</t>
  </si>
  <si>
    <t>14_000624</t>
  </si>
  <si>
    <t>14_000625</t>
  </si>
  <si>
    <t>14_000626</t>
  </si>
  <si>
    <t>14_000627</t>
  </si>
  <si>
    <t>Юты Бондаровской улица</t>
  </si>
  <si>
    <t>14_000628</t>
  </si>
  <si>
    <t>14_000629</t>
  </si>
  <si>
    <t>14_000630</t>
  </si>
  <si>
    <t>14_000631</t>
  </si>
  <si>
    <t>ИТОГО</t>
  </si>
  <si>
    <t>Приложение № 1 - Примечания</t>
  </si>
  <si>
    <t>Контактные данные:</t>
  </si>
  <si>
    <t>СПбГБУ "Центр энергосбережения"</t>
  </si>
  <si>
    <t>Графа "1" - номер по прорядку</t>
  </si>
  <si>
    <t>Бычков Дмитрий Леонидович</t>
  </si>
  <si>
    <t>Графа "2" - указывается полное наименование района</t>
  </si>
  <si>
    <t>тел. +7 921 320 03 48</t>
  </si>
  <si>
    <t>Графа "3" - указывается полное наименование муниципального образования в районе</t>
  </si>
  <si>
    <t>Графа "4" - указывается полное наименование улицы</t>
  </si>
  <si>
    <t>Графа "5, 6, 7" - указывается номер дома, номер корпуса, номер строения</t>
  </si>
  <si>
    <t>Графа "8" - указывается уникальный номер здания (УНОМ), начинающийся с цифрового значения района (справочник прилагается). 00_00000</t>
  </si>
  <si>
    <t>Графа "9" - указывается форма управления домом: организацией с гос. участием (в т.ч. опосредованным); частная управляющая организация; ТСЖ, ЖК, ЖСК;</t>
  </si>
  <si>
    <t>непосредственное управление.</t>
  </si>
  <si>
    <t>Графа "10" - указывается тип жилищного фонда: ведомственный дом, общежитие, дом гостиничного типа, дом на сцепке, дом аварийный, дом кутльтурного наследия.</t>
  </si>
  <si>
    <t>Если указан один из перечисленных признаков - остальные столбцы таблицы для такого МКД не заполняются. Если МКД не относится ни к отдному из перечисленных</t>
  </si>
  <si>
    <t>типов - столбец не заполняется.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</si>
  <si>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</si>
  <si>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</si>
  <si>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</si>
  <si>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</si>
  <si>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"15" - указывается количество этажей (цокольный этаж, 1-й этаж и т.п.) (при разной этажности указать через "/", начиная с 1-ой парадной)</t>
  </si>
  <si>
    <t>Графа "16" - указывается количество подземных этажей</t>
  </si>
  <si>
    <t>Графа "17" - указывается количество пардных</t>
  </si>
  <si>
    <t>Перечень районов:</t>
  </si>
  <si>
    <t>Графа "18" - указывается количество квартир</t>
  </si>
  <si>
    <t>01</t>
  </si>
  <si>
    <t>Адмиралтейский район</t>
  </si>
  <si>
    <t>Графа "19" - указывается общая площадь дома, согласно паспорта БТИ</t>
  </si>
  <si>
    <t>02</t>
  </si>
  <si>
    <t>Василеостровский район</t>
  </si>
  <si>
    <t>Графа "20" - указывается общая отапливаемая площадь дома, согласно паспорта БТИ (полезная)</t>
  </si>
  <si>
    <t>03</t>
  </si>
  <si>
    <t>Выборгский район</t>
  </si>
  <si>
    <t>Графа "21" - указывается общая площадь жилых помещений, согласно паспорта БТИ</t>
  </si>
  <si>
    <t>04</t>
  </si>
  <si>
    <t>Калининский район</t>
  </si>
  <si>
    <t>Графа "22" - указывается площадь нежилых помещений, за исключением мест общего пользования</t>
  </si>
  <si>
    <t>05</t>
  </si>
  <si>
    <t>Кировский район</t>
  </si>
  <si>
    <t>Графа "23" - указывается наличие централизованного подключения к электросетям (да/нет)</t>
  </si>
  <si>
    <t>06</t>
  </si>
  <si>
    <t>Колпинский район</t>
  </si>
  <si>
    <t>Графа "24" - указывается наличие централизованного подключения к сетям холодного водоснабжения (да/нет)</t>
  </si>
  <si>
    <t>07</t>
  </si>
  <si>
    <t>Красногвардейский район</t>
  </si>
  <si>
    <t>Графа "25" - указывается наличие централизованного подключения к сетям горячего водоснабжения  (да/нет)</t>
  </si>
  <si>
    <t>08</t>
  </si>
  <si>
    <t>Красносельский район</t>
  </si>
  <si>
    <t>Графа "26" - указывается наличие централизованного водоотведения  (да/нет)</t>
  </si>
  <si>
    <t>09</t>
  </si>
  <si>
    <t>Кронштадтcкий район</t>
  </si>
  <si>
    <t>Графа "27" - указывается наличие централизованного теплоснабжения  (да/нет)</t>
  </si>
  <si>
    <t>10</t>
  </si>
  <si>
    <t>Курортный район</t>
  </si>
  <si>
    <t>Графа "28" - указывается наличие централизованного газоснабжения  (да/нет)</t>
  </si>
  <si>
    <t>11</t>
  </si>
  <si>
    <t>Московский район</t>
  </si>
  <si>
    <t>Графа "29" - указывается оснащение помещений газовыми колонками (да/нет)</t>
  </si>
  <si>
    <t>12</t>
  </si>
  <si>
    <t>Невский район</t>
  </si>
  <si>
    <t>Графа "30" - указывается оснащение помещений газовыми плитами  (да/нет)</t>
  </si>
  <si>
    <t>13</t>
  </si>
  <si>
    <t>Петроградский район</t>
  </si>
  <si>
    <t>Графа "31" - указывается оснащение помещений электрическими плитами  (да/нет)</t>
  </si>
  <si>
    <t>14</t>
  </si>
  <si>
    <t>Петродворцовый район</t>
  </si>
  <si>
    <t>Графа "32" - указывается общее количество лифтов в доме</t>
  </si>
  <si>
    <t>15</t>
  </si>
  <si>
    <t>Приморский район</t>
  </si>
  <si>
    <t>Графа "33" - указывается количество приборов учета электрической энергии установленных на вводах в дом</t>
  </si>
  <si>
    <t>16</t>
  </si>
  <si>
    <t>Пушкинский район</t>
  </si>
  <si>
    <t>Графа "34" - указывается количество приборов учета холодного водоснабжения установленных на вводах в дом</t>
  </si>
  <si>
    <t>17</t>
  </si>
  <si>
    <t>Фрунзенский район</t>
  </si>
  <si>
    <t>Графа "35" - указывается количество приборов учета горячего водоснабжения установленных на вводах в дом</t>
  </si>
  <si>
    <t>18</t>
  </si>
  <si>
    <t>Центральный район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</si>
  <si>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</si>
  <si>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</si>
  <si>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Графа "38" - комментарии</t>
  </si>
  <si>
    <t>Приложение № 2.1.</t>
  </si>
  <si>
    <t>Фактическое потребление тепловой энергии для нужд отопления</t>
  </si>
  <si>
    <t>в многоквартирных домах (МКД)</t>
  </si>
  <si>
    <t>Код дома БТИ</t>
  </si>
  <si>
    <t>Поставщик ресурсов</t>
  </si>
  <si>
    <t>Тип подключения дома (ЦТП, ИТП)</t>
  </si>
  <si>
    <t>Вид схемы теплоснабжения (закрытая, открытая)</t>
  </si>
  <si>
    <t>Потребитель ресурса (с кем у РСО заключен договор)</t>
  </si>
  <si>
    <t>Вид ресурса (тепловая энергия для нужд отопления)</t>
  </si>
  <si>
    <t>Ед. изм.</t>
  </si>
  <si>
    <t>Кол-во приборов учета тепловой энергии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</si>
  <si>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</si>
  <si>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</si>
  <si>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</si>
  <si>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</si>
  <si>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</si>
  <si>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</si>
  <si>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</si>
  <si>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</si>
  <si>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</si>
  <si>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</si>
  <si>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 ние</t>
  </si>
  <si>
    <t>Суммарное фактическое потребление МКД по всем вводам</t>
  </si>
  <si>
    <t>Договор ная нагрузка</t>
  </si>
  <si>
    <t>Норматив ный температур ный график**</t>
  </si>
  <si>
    <t>Схема присоединения системы отопления (зависимая/ независимая)</t>
  </si>
  <si>
    <t>Количество элеваторных узлов (при их наличии)</t>
  </si>
  <si>
    <t>Наличие транзита на отопление (разгружен/ не разгружен)</t>
  </si>
  <si>
    <t>2011 год</t>
  </si>
  <si>
    <t>2012 год</t>
  </si>
  <si>
    <t>2013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</si>
  <si>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</si>
  <si>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</si>
  <si>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</si>
  <si>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</si>
  <si>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</si>
  <si>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</si>
  <si>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</si>
  <si>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</si>
  <si>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</si>
  <si>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</si>
  <si>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</si>
  <si>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</si>
  <si>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</si>
  <si>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примечание</t>
  </si>
  <si>
    <t>Сумм, объем</t>
  </si>
  <si>
    <t>объем ТЭР</t>
  </si>
  <si>
    <t>МР*</t>
  </si>
  <si>
    <t>Суммарный объем</t>
  </si>
  <si>
    <t>ООО "Петербургтеплоэнерго"</t>
  </si>
  <si>
    <t>ИТП</t>
  </si>
  <si>
    <t>закрытая</t>
  </si>
  <si>
    <t>ООО ЖКС г. Ломоносова</t>
  </si>
  <si>
    <t>тепловая энергия</t>
  </si>
  <si>
    <t>Гкал</t>
  </si>
  <si>
    <t>95/70</t>
  </si>
  <si>
    <t>Д</t>
  </si>
  <si>
    <t>Р</t>
  </si>
  <si>
    <t>95-70</t>
  </si>
  <si>
    <t>зависимая</t>
  </si>
  <si>
    <t>ООО Петербургтеплоэнерго</t>
  </si>
  <si>
    <t>открытая</t>
  </si>
  <si>
    <t>ООО ЖКС г.Петродворца</t>
  </si>
  <si>
    <t>130/70</t>
  </si>
  <si>
    <t>130-70</t>
  </si>
  <si>
    <t>ООО ЖКС п.Стрельна</t>
  </si>
  <si>
    <t>150/70</t>
  </si>
  <si>
    <t>150-70</t>
  </si>
  <si>
    <t>105/70</t>
  </si>
  <si>
    <t>105-70</t>
  </si>
  <si>
    <t>УК ОООРЭС ТСВ</t>
  </si>
  <si>
    <t>УК ООО РЭС ТСВ</t>
  </si>
  <si>
    <t>120/70</t>
  </si>
  <si>
    <t>Приложение № 2.2.</t>
  </si>
  <si>
    <t>Фактическое потребление электрической энергии</t>
  </si>
  <si>
    <t>в местах общего пользования (МОП) многоквартирных домов (МКД)</t>
  </si>
  <si>
    <t>Электроэнергия МОП</t>
  </si>
  <si>
    <t>Внутридомовое освещение</t>
  </si>
  <si>
    <t>Наружнее освещение</t>
  </si>
  <si>
    <t>Наличие прибора электроэнергии (да/нет)</t>
  </si>
  <si>
    <t>Использование для расчетов приборов учета электроэнергии  (да/нет)</t>
  </si>
  <si>
    <t>тип светильника</t>
  </si>
  <si>
    <t>количество светильников</t>
  </si>
  <si>
    <t>Суммарный объем ТЭР</t>
  </si>
  <si>
    <t>ОАО "Петербургская сбытовая компания"</t>
  </si>
  <si>
    <t>ООО "ЖКС г. Ломоносова"</t>
  </si>
  <si>
    <t>Силовая нагрузка</t>
  </si>
  <si>
    <t>кВт.ч.</t>
  </si>
  <si>
    <t>Освещение МОП</t>
  </si>
  <si>
    <t>ООО "Жикомсервис г. Петродворца"</t>
  </si>
  <si>
    <t>НББ</t>
  </si>
  <si>
    <t>ПСХ 60</t>
  </si>
  <si>
    <t>ДА</t>
  </si>
  <si>
    <t>ЛБ</t>
  </si>
  <si>
    <t>ЛПО 01х18</t>
  </si>
  <si>
    <t>НБП</t>
  </si>
  <si>
    <t>НБП, ЛПО</t>
  </si>
  <si>
    <t>ДРЛ</t>
  </si>
  <si>
    <t>ООО "УК"РЭС ТСВ"</t>
  </si>
  <si>
    <t>ЛПО1*18-002</t>
  </si>
  <si>
    <t>ДРЛ-250Вт</t>
  </si>
  <si>
    <t>РКУ</t>
  </si>
  <si>
    <t>ЛБ, ЛН</t>
  </si>
  <si>
    <t>НПО</t>
  </si>
  <si>
    <t>БОТ16-2      2400</t>
  </si>
  <si>
    <t>ООО "Жилкомсервис г. Петродворца"</t>
  </si>
  <si>
    <t>расселен</t>
  </si>
  <si>
    <t>ООО "ЖКС п.Стрельна</t>
  </si>
  <si>
    <t>НББ-64-60</t>
  </si>
  <si>
    <t>14_00038</t>
  </si>
  <si>
    <t>ПСХ</t>
  </si>
  <si>
    <t>14_00039</t>
  </si>
  <si>
    <t>Дср</t>
  </si>
  <si>
    <t>14_00200</t>
  </si>
  <si>
    <t>ОЗЕР 45</t>
  </si>
  <si>
    <t>в 2013 г. не в управлении</t>
  </si>
  <si>
    <t>НЕТ</t>
  </si>
  <si>
    <t>ННБ</t>
  </si>
  <si>
    <t>НСП</t>
  </si>
</sst>
</file>

<file path=xl/styles.xml><?xml version="1.0" encoding="utf-8"?>
<styleSheet xmlns="http://schemas.openxmlformats.org/spreadsheetml/2006/main">
  <numFmts count="6">
    <numFmt formatCode="GENERAL" numFmtId="164"/>
    <numFmt formatCode="@" numFmtId="165"/>
    <numFmt formatCode="#,##0" numFmtId="166"/>
    <numFmt formatCode="0.000" numFmtId="167"/>
    <numFmt formatCode="0.00" numFmtId="168"/>
    <numFmt formatCode="#,##0.000" numFmtId="169"/>
  </numFmts>
  <fonts count="19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b val="true"/>
      <color rgb="FF000000"/>
      <sz val="12"/>
    </font>
    <font>
      <name val="Calibri"/>
      <charset val="204"/>
      <family val="2"/>
      <sz val="12"/>
    </font>
    <font>
      <name val="Calibri"/>
      <charset val="204"/>
      <family val="2"/>
      <b val="true"/>
      <sz val="12"/>
    </font>
    <font>
      <name val="Calibri"/>
      <charset val="204"/>
      <family val="2"/>
      <sz val="10"/>
    </font>
    <font>
      <name val="Calibri"/>
      <charset val="204"/>
      <family val="2"/>
      <color rgb="FFFF0000"/>
      <sz val="12"/>
    </font>
    <font>
      <name val="Calibri"/>
      <charset val="204"/>
      <family val="2"/>
      <color rgb="FF00B050"/>
      <sz val="12"/>
    </font>
    <font>
      <name val="Calibri"/>
      <charset val="204"/>
      <family val="2"/>
      <b val="true"/>
      <color rgb="FF000000"/>
      <sz val="14"/>
    </font>
    <font>
      <name val="Calibri"/>
      <charset val="204"/>
      <family val="2"/>
      <color rgb="FFFF0000"/>
      <sz val="11"/>
    </font>
    <font>
      <name val="Times New Roman"/>
      <charset val="204"/>
      <family val="1"/>
      <color rgb="FF000000"/>
      <sz val="11"/>
    </font>
    <font>
      <name val="Calibri"/>
      <charset val="204"/>
      <family val="2"/>
      <b val="true"/>
      <color rgb="FF000000"/>
      <sz val="11"/>
    </font>
    <font>
      <name val="Calibri"/>
      <charset val="204"/>
      <family val="2"/>
      <sz val="11"/>
    </font>
    <font>
      <name val="Calibri"/>
      <charset val="204"/>
      <family val="2"/>
      <color rgb="FF000000"/>
      <sz val="10"/>
    </font>
    <font>
      <name val="Tahoma"/>
      <charset val="204"/>
      <family val="2"/>
      <b val="true"/>
      <color rgb="FF000000"/>
      <sz val="9"/>
    </font>
  </fonts>
  <fills count="15">
    <fill>
      <patternFill patternType="none"/>
    </fill>
    <fill>
      <patternFill patternType="gray125"/>
    </fill>
    <fill>
      <patternFill patternType="solid">
        <fgColor rgb="FF99FF99"/>
        <bgColor rgb="FFEFFE94"/>
      </patternFill>
    </fill>
    <fill>
      <patternFill patternType="solid">
        <fgColor rgb="FFE6B9B8"/>
        <bgColor rgb="FFCCC1DA"/>
      </patternFill>
    </fill>
    <fill>
      <patternFill patternType="solid">
        <fgColor rgb="FFDCE6F2"/>
        <bgColor rgb="FFDBEEF4"/>
      </patternFill>
    </fill>
    <fill>
      <patternFill patternType="solid">
        <fgColor rgb="FFEFFE94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FDEADA"/>
        <bgColor rgb="FFE6E0EC"/>
      </patternFill>
    </fill>
    <fill>
      <patternFill patternType="solid">
        <fgColor rgb="FFFFFFFF"/>
        <bgColor rgb="FFFDEADA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E6B9B8"/>
      </patternFill>
    </fill>
    <fill>
      <patternFill patternType="solid">
        <fgColor rgb="FFFCD5B5"/>
        <bgColor rgb="FFFDEADA"/>
      </patternFill>
    </fill>
    <fill>
      <patternFill patternType="solid">
        <fgColor rgb="FFDBEEF4"/>
        <bgColor rgb="FFDCE6F2"/>
      </patternFill>
    </fill>
    <fill>
      <patternFill patternType="solid">
        <fgColor rgb="FFD99694"/>
        <bgColor rgb="FFE6B9B8"/>
      </patternFill>
    </fill>
    <fill>
      <patternFill patternType="solid">
        <fgColor rgb="FF00CCFF"/>
        <bgColor rgb="FF33CCCC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ck"/>
      <right style="thick"/>
      <top style="thick"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9" numFmtId="164">
      <alignment horizontal="general" indent="0" shrinkToFit="false" textRotation="0" vertical="bottom" wrapText="false"/>
      <protection hidden="false" locked="true"/>
    </xf>
  </cellStyleXfs>
  <cellXfs count="11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2" fontId="6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5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6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5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0" fontId="7" numFmtId="164" xfId="2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" fillId="0" fontId="7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3" fillId="0" fontId="7" numFmtId="164" xfId="0">
      <alignment horizontal="right" indent="0" shrinkToFit="false" textRotation="0" vertical="bottom" wrapText="false"/>
      <protection hidden="false" locked="true"/>
    </xf>
    <xf applyAlignment="true" applyBorder="true" applyFont="false" applyProtection="false" borderId="3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8" fontId="5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8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8" fontId="7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0" fontId="6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1" fillId="2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6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2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5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9" fontId="8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9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9" fontId="7" numFmtId="165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1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11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1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2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12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8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13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8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11" fontId="8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3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8" fontId="0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" fillId="8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8" fontId="0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3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8" fontId="13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8" fontId="0" numFmtId="168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3" fillId="8" fontId="0" numFmtId="169" xfId="0">
      <alignment horizontal="right" indent="0" shrinkToFit="false" textRotation="0" vertical="bottom" wrapText="true"/>
      <protection hidden="false" locked="true"/>
    </xf>
    <xf applyAlignment="false" applyBorder="false" applyFont="false" applyProtection="false" borderId="0" fillId="8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1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1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1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17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1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16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16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16" numFmtId="166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13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2" fillId="0" fontId="16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14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4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8" fontId="16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6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14" fontId="16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2" fillId="8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8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8" fontId="1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8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8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8" fontId="13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8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8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13" numFmtId="164" xfId="0">
      <alignment horizontal="general" indent="0" shrinkToFit="false" textRotation="0" vertical="bottom" wrapText="tru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Обычный_Подразд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EFFE94"/>
      <rgbColor rgb="FF99FF99"/>
      <rgbColor rgb="FFE6B9B8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L639"/>
  <sheetViews>
    <sheetView colorId="64" defaultGridColor="true" rightToLeft="false" showFormulas="false" showGridLines="true" showOutlineSymbols="true" showRowColHeaders="true" showZeros="true" tabSelected="true" topLeftCell="U602" view="pageBreakPreview" windowProtection="false" workbookViewId="0" zoomScale="50" zoomScaleNormal="60" zoomScalePageLayoutView="50">
      <selection activeCell="AE615" activeCellId="0" pane="topLeft" sqref="AE615"/>
    </sheetView>
  </sheetViews>
  <sheetFormatPr defaultRowHeight="15.6"/>
  <cols>
    <col collapsed="false" hidden="false" max="1" min="1" style="1" width="5.4412955465587"/>
    <col collapsed="false" hidden="false" max="2" min="2" style="1" width="18.668016194332"/>
    <col collapsed="false" hidden="false" max="3" min="3" style="1" width="48.6599190283401"/>
    <col collapsed="false" hidden="false" max="4" min="4" style="1" width="34.8866396761134"/>
    <col collapsed="false" hidden="false" max="5" min="5" style="1" width="9.66396761133603"/>
    <col collapsed="false" hidden="false" max="7" min="6" style="1" width="10.8825910931174"/>
    <col collapsed="false" hidden="false" max="8" min="8" style="1" width="14.9959514170041"/>
    <col collapsed="false" hidden="false" max="9" min="9" style="1" width="33.8866396761134"/>
    <col collapsed="false" hidden="false" max="10" min="10" style="1" width="22.1093117408907"/>
    <col collapsed="false" hidden="false" max="11" min="11" style="1" width="32.663967611336"/>
    <col collapsed="false" hidden="false" max="12" min="12" style="1" width="18.8866396761134"/>
    <col collapsed="false" hidden="false" max="13" min="13" style="1" width="11.6599190283401"/>
    <col collapsed="false" hidden="false" max="14" min="14" style="1" width="13.5546558704453"/>
    <col collapsed="false" hidden="false" max="15" min="15" style="1" width="29.5587044534413"/>
    <col collapsed="false" hidden="false" max="16" min="16" style="1" width="18.668016194332"/>
    <col collapsed="false" hidden="false" max="18" min="17" style="1" width="11.4412955465587"/>
    <col collapsed="false" hidden="false" max="19" min="19" style="1" width="11.1133603238866"/>
    <col collapsed="false" hidden="false" max="20" min="20" style="1" width="12.1133603238866"/>
    <col collapsed="false" hidden="false" max="21" min="21" style="1" width="13.331983805668"/>
    <col collapsed="false" hidden="false" max="22" min="22" style="1" width="15.8906882591093"/>
    <col collapsed="false" hidden="false" max="23" min="23" style="1" width="9.66396761133603"/>
    <col collapsed="false" hidden="false" max="25" min="24" style="1" width="9.11336032388664"/>
    <col collapsed="false" hidden="false" max="28" min="26" style="1" width="9.66396761133603"/>
    <col collapsed="false" hidden="false" max="30" min="29" style="1" width="8.66396761133603"/>
    <col collapsed="false" hidden="false" max="32" min="31" style="1" width="8.88259109311741"/>
    <col collapsed="false" hidden="false" max="37" min="33" style="1" width="7.4412955465587"/>
    <col collapsed="false" hidden="false" max="38" min="38" style="1" width="16.331983805668"/>
    <col collapsed="false" hidden="false" max="1025" min="39" style="1" width="9.11336032388664"/>
  </cols>
  <sheetData>
    <row collapsed="false" customFormat="false" customHeight="false" hidden="false" ht="15.6" outlineLevel="0" r="1">
      <c r="A1" s="2" t="s">
        <v>0</v>
      </c>
      <c r="AE1" s="2"/>
      <c r="AF1" s="2"/>
    </row>
    <row collapsed="false" customFormat="false" customHeight="false" hidden="false" ht="15.6" outlineLevel="0" r="2">
      <c r="A2" s="3" t="s">
        <v>1</v>
      </c>
      <c r="C2" s="3"/>
      <c r="AE2" s="2"/>
      <c r="AF2" s="2"/>
    </row>
    <row collapsed="false" customFormat="false" customHeight="false" hidden="false" ht="15.6" outlineLevel="0" r="3">
      <c r="A3" s="3" t="s">
        <v>2</v>
      </c>
      <c r="C3" s="3"/>
      <c r="AE3" s="2"/>
      <c r="AF3" s="2"/>
    </row>
    <row collapsed="false" customFormat="false" customHeight="false" hidden="false" ht="15.6" outlineLevel="0" r="4">
      <c r="A4" s="4"/>
      <c r="B4" s="4" t="s">
        <v>3</v>
      </c>
      <c r="AE4" s="2"/>
      <c r="AF4" s="2"/>
    </row>
    <row collapsed="false" customFormat="true" customHeight="true" hidden="false" ht="58.2" outlineLevel="0" r="5" s="9">
      <c r="A5" s="5" t="s">
        <v>4</v>
      </c>
      <c r="B5" s="5" t="s">
        <v>5</v>
      </c>
      <c r="C5" s="5"/>
      <c r="D5" s="5"/>
      <c r="E5" s="5"/>
      <c r="F5" s="5"/>
      <c r="G5" s="5"/>
      <c r="H5" s="5"/>
      <c r="I5" s="5"/>
      <c r="J5" s="5"/>
      <c r="K5" s="6" t="s">
        <v>6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 t="s">
        <v>7</v>
      </c>
      <c r="AH5" s="7"/>
      <c r="AI5" s="7"/>
      <c r="AJ5" s="7"/>
      <c r="AK5" s="7"/>
      <c r="AL5" s="8" t="s">
        <v>8</v>
      </c>
    </row>
    <row collapsed="false" customFormat="true" customHeight="true" hidden="false" ht="151.2" outlineLevel="0" r="6" s="17">
      <c r="A6" s="5"/>
      <c r="B6" s="5" t="s">
        <v>9</v>
      </c>
      <c r="C6" s="5" t="s">
        <v>10</v>
      </c>
      <c r="D6" s="5" t="s">
        <v>11</v>
      </c>
      <c r="E6" s="10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11" t="s">
        <v>17</v>
      </c>
      <c r="K6" s="12" t="s">
        <v>18</v>
      </c>
      <c r="L6" s="12" t="s">
        <v>19</v>
      </c>
      <c r="M6" s="12" t="s">
        <v>20</v>
      </c>
      <c r="N6" s="12" t="s">
        <v>21</v>
      </c>
      <c r="O6" s="13" t="s">
        <v>22</v>
      </c>
      <c r="P6" s="13" t="s">
        <v>23</v>
      </c>
      <c r="Q6" s="12" t="s">
        <v>24</v>
      </c>
      <c r="R6" s="12" t="s">
        <v>25</v>
      </c>
      <c r="S6" s="14" t="s">
        <v>26</v>
      </c>
      <c r="T6" s="14" t="s">
        <v>27</v>
      </c>
      <c r="U6" s="14" t="s">
        <v>28</v>
      </c>
      <c r="V6" s="14" t="s">
        <v>29</v>
      </c>
      <c r="W6" s="15" t="s">
        <v>30</v>
      </c>
      <c r="X6" s="15" t="s">
        <v>31</v>
      </c>
      <c r="Y6" s="15" t="s">
        <v>32</v>
      </c>
      <c r="Z6" s="15" t="s">
        <v>33</v>
      </c>
      <c r="AA6" s="16" t="s">
        <v>34</v>
      </c>
      <c r="AB6" s="16" t="s">
        <v>35</v>
      </c>
      <c r="AC6" s="16" t="s">
        <v>36</v>
      </c>
      <c r="AD6" s="16" t="s">
        <v>37</v>
      </c>
      <c r="AE6" s="16" t="s">
        <v>38</v>
      </c>
      <c r="AF6" s="16" t="s">
        <v>39</v>
      </c>
      <c r="AG6" s="7" t="s">
        <v>40</v>
      </c>
      <c r="AH6" s="7" t="s">
        <v>41</v>
      </c>
      <c r="AI6" s="7" t="s">
        <v>42</v>
      </c>
      <c r="AJ6" s="7" t="s">
        <v>43</v>
      </c>
      <c r="AK6" s="7" t="s">
        <v>44</v>
      </c>
      <c r="AL6" s="8"/>
    </row>
    <row collapsed="false" customFormat="true" customHeight="false" hidden="false" ht="15.6" outlineLevel="0" r="7" s="24">
      <c r="A7" s="18" t="n">
        <v>1</v>
      </c>
      <c r="B7" s="18" t="n">
        <v>2</v>
      </c>
      <c r="C7" s="18" t="n">
        <v>3</v>
      </c>
      <c r="D7" s="18" t="n">
        <v>4</v>
      </c>
      <c r="E7" s="18" t="n">
        <v>5</v>
      </c>
      <c r="F7" s="18" t="n">
        <v>6</v>
      </c>
      <c r="G7" s="18" t="n">
        <v>7</v>
      </c>
      <c r="H7" s="18" t="n">
        <v>8</v>
      </c>
      <c r="I7" s="18" t="n">
        <v>9</v>
      </c>
      <c r="J7" s="18" t="n">
        <v>10</v>
      </c>
      <c r="K7" s="19" t="n">
        <v>11</v>
      </c>
      <c r="L7" s="19" t="n">
        <v>12</v>
      </c>
      <c r="M7" s="19" t="n">
        <v>13</v>
      </c>
      <c r="N7" s="19" t="n">
        <v>14</v>
      </c>
      <c r="O7" s="19" t="n">
        <v>15</v>
      </c>
      <c r="P7" s="19" t="n">
        <v>16</v>
      </c>
      <c r="Q7" s="19" t="n">
        <v>17</v>
      </c>
      <c r="R7" s="19" t="n">
        <v>18</v>
      </c>
      <c r="S7" s="20" t="n">
        <v>19</v>
      </c>
      <c r="T7" s="20" t="n">
        <v>20</v>
      </c>
      <c r="U7" s="20" t="n">
        <v>21</v>
      </c>
      <c r="V7" s="20" t="n">
        <v>22</v>
      </c>
      <c r="W7" s="21" t="n">
        <v>23</v>
      </c>
      <c r="X7" s="21" t="n">
        <v>24</v>
      </c>
      <c r="Y7" s="21" t="n">
        <v>25</v>
      </c>
      <c r="Z7" s="21" t="n">
        <v>26</v>
      </c>
      <c r="AA7" s="21" t="n">
        <v>27</v>
      </c>
      <c r="AB7" s="21" t="n">
        <v>28</v>
      </c>
      <c r="AC7" s="21" t="n">
        <v>29</v>
      </c>
      <c r="AD7" s="21" t="n">
        <v>30</v>
      </c>
      <c r="AE7" s="21" t="n">
        <v>31</v>
      </c>
      <c r="AF7" s="15" t="n">
        <v>32</v>
      </c>
      <c r="AG7" s="22" t="n">
        <v>33</v>
      </c>
      <c r="AH7" s="22" t="n">
        <v>34</v>
      </c>
      <c r="AI7" s="22" t="n">
        <v>35</v>
      </c>
      <c r="AJ7" s="22" t="n">
        <v>36</v>
      </c>
      <c r="AK7" s="22" t="n">
        <v>37</v>
      </c>
      <c r="AL7" s="23" t="n">
        <v>38</v>
      </c>
    </row>
    <row collapsed="false" customFormat="false" customHeight="true" hidden="false" ht="24" outlineLevel="0" r="8">
      <c r="A8" s="25" t="n">
        <v>1</v>
      </c>
      <c r="B8" s="26" t="s">
        <v>45</v>
      </c>
      <c r="C8" s="26" t="s">
        <v>46</v>
      </c>
      <c r="D8" s="26" t="s">
        <v>47</v>
      </c>
      <c r="E8" s="26" t="n">
        <v>1</v>
      </c>
      <c r="F8" s="26"/>
      <c r="G8" s="26"/>
      <c r="H8" s="26" t="s">
        <v>48</v>
      </c>
      <c r="I8" s="26" t="s">
        <v>49</v>
      </c>
      <c r="J8" s="26"/>
      <c r="K8" s="26" t="s">
        <v>50</v>
      </c>
      <c r="L8" s="26" t="s">
        <v>51</v>
      </c>
      <c r="M8" s="26" t="n">
        <v>1966</v>
      </c>
      <c r="N8" s="26" t="s">
        <v>52</v>
      </c>
      <c r="O8" s="26" t="n">
        <v>5</v>
      </c>
      <c r="P8" s="26" t="n">
        <v>0</v>
      </c>
      <c r="Q8" s="26" t="n">
        <v>4</v>
      </c>
      <c r="R8" s="26" t="n">
        <v>80</v>
      </c>
      <c r="S8" s="26" t="n">
        <v>3219.7</v>
      </c>
      <c r="T8" s="27" t="n">
        <v>3219.7</v>
      </c>
      <c r="U8" s="27" t="n">
        <v>3219.7</v>
      </c>
      <c r="V8" s="28" t="n">
        <v>0</v>
      </c>
      <c r="W8" s="28" t="s">
        <v>53</v>
      </c>
      <c r="X8" s="28" t="s">
        <v>53</v>
      </c>
      <c r="Y8" s="26" t="s">
        <v>54</v>
      </c>
      <c r="Z8" s="28" t="s">
        <v>53</v>
      </c>
      <c r="AA8" s="28" t="s">
        <v>53</v>
      </c>
      <c r="AB8" s="28" t="s">
        <v>53</v>
      </c>
      <c r="AC8" s="28" t="s">
        <v>53</v>
      </c>
      <c r="AD8" s="28" t="s">
        <v>53</v>
      </c>
      <c r="AE8" s="28" t="s">
        <v>54</v>
      </c>
      <c r="AF8" s="29" t="n">
        <v>0</v>
      </c>
      <c r="AG8" s="26" t="n">
        <v>0</v>
      </c>
      <c r="AH8" s="26" t="n">
        <v>1</v>
      </c>
      <c r="AI8" s="26" t="n">
        <v>0</v>
      </c>
      <c r="AJ8" s="26" t="n">
        <v>1</v>
      </c>
      <c r="AK8" s="26" t="n">
        <v>0</v>
      </c>
      <c r="AL8" s="26"/>
    </row>
    <row collapsed="false" customFormat="false" customHeight="true" hidden="false" ht="28.5" outlineLevel="0" r="9">
      <c r="A9" s="30" t="n">
        <v>2</v>
      </c>
      <c r="B9" s="30" t="s">
        <v>45</v>
      </c>
      <c r="C9" s="30" t="s">
        <v>46</v>
      </c>
      <c r="D9" s="30" t="s">
        <v>47</v>
      </c>
      <c r="E9" s="30" t="n">
        <v>5</v>
      </c>
      <c r="F9" s="30"/>
      <c r="G9" s="30"/>
      <c r="H9" s="30" t="s">
        <v>55</v>
      </c>
      <c r="I9" s="30" t="s">
        <v>56</v>
      </c>
      <c r="J9" s="30"/>
      <c r="K9" s="30" t="s">
        <v>57</v>
      </c>
      <c r="L9" s="30" t="s">
        <v>51</v>
      </c>
      <c r="M9" s="30" t="n">
        <v>1917</v>
      </c>
      <c r="N9" s="30" t="s">
        <v>58</v>
      </c>
      <c r="O9" s="30" t="n">
        <v>4</v>
      </c>
      <c r="P9" s="30" t="n">
        <v>0</v>
      </c>
      <c r="Q9" s="30" t="n">
        <v>1</v>
      </c>
      <c r="R9" s="30" t="n">
        <v>16</v>
      </c>
      <c r="S9" s="30" t="n">
        <v>973</v>
      </c>
      <c r="T9" s="30" t="n">
        <v>973</v>
      </c>
      <c r="U9" s="30" t="n">
        <v>973</v>
      </c>
      <c r="V9" s="30"/>
      <c r="W9" s="30" t="s">
        <v>53</v>
      </c>
      <c r="X9" s="30" t="s">
        <v>53</v>
      </c>
      <c r="Y9" s="30" t="s">
        <v>54</v>
      </c>
      <c r="Z9" s="30" t="s">
        <v>53</v>
      </c>
      <c r="AA9" s="30" t="s">
        <v>53</v>
      </c>
      <c r="AB9" s="30" t="s">
        <v>53</v>
      </c>
      <c r="AC9" s="30" t="s">
        <v>53</v>
      </c>
      <c r="AD9" s="30" t="s">
        <v>53</v>
      </c>
      <c r="AE9" s="30" t="s">
        <v>54</v>
      </c>
      <c r="AF9" s="30" t="n">
        <v>0</v>
      </c>
      <c r="AG9" s="30" t="n">
        <v>0</v>
      </c>
      <c r="AH9" s="30" t="n">
        <v>1</v>
      </c>
      <c r="AI9" s="30" t="n">
        <v>0</v>
      </c>
      <c r="AJ9" s="30" t="n">
        <v>0</v>
      </c>
      <c r="AK9" s="30" t="n">
        <v>0</v>
      </c>
      <c r="AL9" s="26"/>
    </row>
    <row collapsed="false" customFormat="false" customHeight="true" hidden="false" ht="15.75" outlineLevel="0" r="10">
      <c r="A10" s="30" t="n">
        <v>3</v>
      </c>
      <c r="B10" s="30" t="s">
        <v>45</v>
      </c>
      <c r="C10" s="30" t="s">
        <v>59</v>
      </c>
      <c r="D10" s="30" t="s">
        <v>60</v>
      </c>
      <c r="E10" s="30" t="n">
        <v>5</v>
      </c>
      <c r="F10" s="30" t="n">
        <v>1</v>
      </c>
      <c r="G10" s="30"/>
      <c r="H10" s="30" t="s">
        <v>61</v>
      </c>
      <c r="I10" s="30" t="s">
        <v>56</v>
      </c>
      <c r="J10" s="30"/>
      <c r="K10" s="30" t="s">
        <v>57</v>
      </c>
      <c r="L10" s="30" t="s">
        <v>57</v>
      </c>
      <c r="M10" s="30" t="n">
        <v>2003</v>
      </c>
      <c r="N10" s="30" t="s">
        <v>58</v>
      </c>
      <c r="O10" s="30" t="n">
        <v>2</v>
      </c>
      <c r="P10" s="30" t="n">
        <v>0</v>
      </c>
      <c r="Q10" s="30" t="n">
        <v>2</v>
      </c>
      <c r="R10" s="30" t="n">
        <v>2</v>
      </c>
      <c r="S10" s="30" t="n">
        <v>576</v>
      </c>
      <c r="T10" s="30" t="n">
        <v>576</v>
      </c>
      <c r="U10" s="30" t="n">
        <v>576</v>
      </c>
      <c r="V10" s="30"/>
      <c r="W10" s="30" t="s">
        <v>53</v>
      </c>
      <c r="X10" s="30" t="s">
        <v>53</v>
      </c>
      <c r="Y10" s="30" t="s">
        <v>53</v>
      </c>
      <c r="Z10" s="30" t="s">
        <v>53</v>
      </c>
      <c r="AA10" s="30" t="s">
        <v>53</v>
      </c>
      <c r="AB10" s="30" t="s">
        <v>53</v>
      </c>
      <c r="AC10" s="30" t="s">
        <v>53</v>
      </c>
      <c r="AD10" s="30" t="s">
        <v>53</v>
      </c>
      <c r="AE10" s="30" t="s">
        <v>54</v>
      </c>
      <c r="AF10" s="30" t="n">
        <v>0</v>
      </c>
      <c r="AG10" s="30" t="n">
        <v>0</v>
      </c>
      <c r="AH10" s="30" t="n">
        <v>0</v>
      </c>
      <c r="AI10" s="30" t="n">
        <v>0</v>
      </c>
      <c r="AJ10" s="30" t="n">
        <v>0</v>
      </c>
      <c r="AK10" s="30" t="n">
        <v>0</v>
      </c>
      <c r="AL10" s="26"/>
    </row>
    <row collapsed="false" customFormat="false" customHeight="false" hidden="false" ht="14.5" outlineLevel="0" r="11">
      <c r="A11" s="30" t="n">
        <v>4</v>
      </c>
      <c r="B11" s="30" t="s">
        <v>45</v>
      </c>
      <c r="C11" s="30" t="s">
        <v>59</v>
      </c>
      <c r="D11" s="30" t="s">
        <v>60</v>
      </c>
      <c r="E11" s="30" t="n">
        <v>8</v>
      </c>
      <c r="F11" s="30"/>
      <c r="G11" s="30"/>
      <c r="H11" s="30" t="s">
        <v>62</v>
      </c>
      <c r="I11" s="30" t="s">
        <v>56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 t="n">
        <v>377</v>
      </c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26"/>
    </row>
    <row collapsed="false" customFormat="false" customHeight="false" hidden="false" ht="14.5" outlineLevel="0" r="12">
      <c r="A12" s="30" t="n">
        <v>5</v>
      </c>
      <c r="B12" s="30" t="s">
        <v>45</v>
      </c>
      <c r="C12" s="30" t="s">
        <v>59</v>
      </c>
      <c r="D12" s="30" t="s">
        <v>60</v>
      </c>
      <c r="E12" s="30" t="n">
        <v>10</v>
      </c>
      <c r="F12" s="30"/>
      <c r="G12" s="30"/>
      <c r="H12" s="30" t="s">
        <v>63</v>
      </c>
      <c r="I12" s="30" t="s">
        <v>56</v>
      </c>
      <c r="J12" s="30"/>
      <c r="K12" s="30" t="s">
        <v>64</v>
      </c>
      <c r="L12" s="30" t="s">
        <v>65</v>
      </c>
      <c r="M12" s="30" t="n">
        <v>1961</v>
      </c>
      <c r="N12" s="30" t="s">
        <v>58</v>
      </c>
      <c r="O12" s="30" t="n">
        <v>4</v>
      </c>
      <c r="P12" s="30" t="n">
        <v>0</v>
      </c>
      <c r="Q12" s="30" t="n">
        <v>3</v>
      </c>
      <c r="R12" s="30" t="n">
        <v>40</v>
      </c>
      <c r="S12" s="30" t="n">
        <v>2104</v>
      </c>
      <c r="T12" s="30" t="n">
        <v>2104</v>
      </c>
      <c r="U12" s="30" t="n">
        <v>1674</v>
      </c>
      <c r="V12" s="30" t="n">
        <v>430</v>
      </c>
      <c r="W12" s="30" t="s">
        <v>53</v>
      </c>
      <c r="X12" s="30" t="s">
        <v>53</v>
      </c>
      <c r="Y12" s="30" t="s">
        <v>53</v>
      </c>
      <c r="Z12" s="30" t="s">
        <v>53</v>
      </c>
      <c r="AA12" s="30" t="s">
        <v>53</v>
      </c>
      <c r="AB12" s="30" t="s">
        <v>53</v>
      </c>
      <c r="AC12" s="30" t="s">
        <v>53</v>
      </c>
      <c r="AD12" s="30" t="s">
        <v>53</v>
      </c>
      <c r="AE12" s="30" t="s">
        <v>54</v>
      </c>
      <c r="AF12" s="30" t="n">
        <v>0</v>
      </c>
      <c r="AG12" s="30" t="n">
        <v>1</v>
      </c>
      <c r="AH12" s="30" t="n">
        <v>0</v>
      </c>
      <c r="AI12" s="30" t="n">
        <v>0</v>
      </c>
      <c r="AJ12" s="30" t="n">
        <v>1</v>
      </c>
      <c r="AK12" s="30" t="n">
        <v>0</v>
      </c>
      <c r="AL12" s="26"/>
    </row>
    <row collapsed="false" customFormat="false" customHeight="false" hidden="false" ht="14.5" outlineLevel="0" r="13">
      <c r="A13" s="30" t="n">
        <v>6</v>
      </c>
      <c r="B13" s="30" t="s">
        <v>45</v>
      </c>
      <c r="C13" s="30" t="s">
        <v>59</v>
      </c>
      <c r="D13" s="30" t="s">
        <v>60</v>
      </c>
      <c r="E13" s="30" t="n">
        <v>11</v>
      </c>
      <c r="F13" s="30"/>
      <c r="G13" s="30"/>
      <c r="H13" s="30" t="s">
        <v>66</v>
      </c>
      <c r="I13" s="30" t="s">
        <v>56</v>
      </c>
      <c r="J13" s="30"/>
      <c r="K13" s="30" t="s">
        <v>64</v>
      </c>
      <c r="L13" s="30"/>
      <c r="M13" s="30" t="n">
        <v>1958</v>
      </c>
      <c r="N13" s="30" t="s">
        <v>58</v>
      </c>
      <c r="O13" s="30" t="n">
        <v>3</v>
      </c>
      <c r="P13" s="30" t="n">
        <v>0</v>
      </c>
      <c r="Q13" s="30" t="n">
        <v>3</v>
      </c>
      <c r="R13" s="30" t="n">
        <v>30</v>
      </c>
      <c r="S13" s="30" t="n">
        <v>1775.5</v>
      </c>
      <c r="T13" s="30" t="n">
        <v>1775.5</v>
      </c>
      <c r="U13" s="30" t="n">
        <v>1447</v>
      </c>
      <c r="V13" s="30" t="n">
        <v>328.5</v>
      </c>
      <c r="W13" s="30" t="s">
        <v>53</v>
      </c>
      <c r="X13" s="30" t="s">
        <v>53</v>
      </c>
      <c r="Y13" s="30" t="s">
        <v>53</v>
      </c>
      <c r="Z13" s="30" t="s">
        <v>53</v>
      </c>
      <c r="AA13" s="30" t="s">
        <v>53</v>
      </c>
      <c r="AB13" s="30" t="s">
        <v>53</v>
      </c>
      <c r="AC13" s="30" t="s">
        <v>53</v>
      </c>
      <c r="AD13" s="30" t="s">
        <v>53</v>
      </c>
      <c r="AE13" s="30" t="s">
        <v>54</v>
      </c>
      <c r="AF13" s="30" t="n">
        <v>0</v>
      </c>
      <c r="AG13" s="30" t="n">
        <v>0</v>
      </c>
      <c r="AH13" s="30" t="n">
        <v>1</v>
      </c>
      <c r="AI13" s="30" t="n">
        <v>0</v>
      </c>
      <c r="AJ13" s="30" t="n">
        <v>1</v>
      </c>
      <c r="AK13" s="30" t="n">
        <v>0</v>
      </c>
      <c r="AL13" s="26"/>
    </row>
    <row collapsed="false" customFormat="false" customHeight="false" hidden="false" ht="14.5" outlineLevel="0" r="14">
      <c r="A14" s="30" t="n">
        <v>7</v>
      </c>
      <c r="B14" s="30" t="s">
        <v>45</v>
      </c>
      <c r="C14" s="30" t="s">
        <v>59</v>
      </c>
      <c r="D14" s="30" t="s">
        <v>60</v>
      </c>
      <c r="E14" s="30" t="n">
        <v>11</v>
      </c>
      <c r="F14" s="30" t="s">
        <v>67</v>
      </c>
      <c r="G14" s="30"/>
      <c r="H14" s="30" t="s">
        <v>68</v>
      </c>
      <c r="I14" s="30" t="s">
        <v>56</v>
      </c>
      <c r="J14" s="30"/>
      <c r="K14" s="30" t="s">
        <v>64</v>
      </c>
      <c r="L14" s="30"/>
      <c r="M14" s="30" t="n">
        <v>1958</v>
      </c>
      <c r="N14" s="30" t="s">
        <v>58</v>
      </c>
      <c r="O14" s="30" t="n">
        <v>3</v>
      </c>
      <c r="P14" s="30" t="n">
        <v>0</v>
      </c>
      <c r="Q14" s="30" t="n">
        <v>3</v>
      </c>
      <c r="R14" s="30" t="n">
        <v>36</v>
      </c>
      <c r="S14" s="30" t="n">
        <v>1505</v>
      </c>
      <c r="T14" s="30" t="n">
        <v>1505</v>
      </c>
      <c r="U14" s="30" t="n">
        <v>1505</v>
      </c>
      <c r="V14" s="30"/>
      <c r="W14" s="30" t="s">
        <v>53</v>
      </c>
      <c r="X14" s="30" t="s">
        <v>53</v>
      </c>
      <c r="Y14" s="30" t="s">
        <v>53</v>
      </c>
      <c r="Z14" s="30" t="s">
        <v>53</v>
      </c>
      <c r="AA14" s="30" t="s">
        <v>53</v>
      </c>
      <c r="AB14" s="30" t="s">
        <v>53</v>
      </c>
      <c r="AC14" s="30" t="s">
        <v>53</v>
      </c>
      <c r="AD14" s="30" t="s">
        <v>53</v>
      </c>
      <c r="AE14" s="30" t="s">
        <v>54</v>
      </c>
      <c r="AF14" s="30" t="n">
        <v>0</v>
      </c>
      <c r="AG14" s="30" t="n">
        <v>0</v>
      </c>
      <c r="AH14" s="30" t="n">
        <v>0</v>
      </c>
      <c r="AI14" s="30" t="n">
        <v>0</v>
      </c>
      <c r="AJ14" s="30" t="n">
        <v>1</v>
      </c>
      <c r="AK14" s="30" t="n">
        <v>0</v>
      </c>
      <c r="AL14" s="26"/>
    </row>
    <row collapsed="false" customFormat="false" customHeight="false" hidden="false" ht="14.5" outlineLevel="0" r="15">
      <c r="A15" s="30" t="n">
        <v>8</v>
      </c>
      <c r="B15" s="30" t="s">
        <v>45</v>
      </c>
      <c r="C15" s="30" t="s">
        <v>59</v>
      </c>
      <c r="D15" s="30" t="s">
        <v>60</v>
      </c>
      <c r="E15" s="30" t="n">
        <v>11</v>
      </c>
      <c r="F15" s="30" t="s">
        <v>69</v>
      </c>
      <c r="G15" s="30"/>
      <c r="H15" s="30" t="s">
        <v>70</v>
      </c>
      <c r="I15" s="30" t="s">
        <v>56</v>
      </c>
      <c r="J15" s="30"/>
      <c r="K15" s="30" t="s">
        <v>64</v>
      </c>
      <c r="L15" s="30"/>
      <c r="M15" s="30" t="n">
        <v>1959</v>
      </c>
      <c r="N15" s="30" t="s">
        <v>58</v>
      </c>
      <c r="O15" s="30" t="n">
        <v>3</v>
      </c>
      <c r="P15" s="30" t="n">
        <v>0</v>
      </c>
      <c r="Q15" s="30" t="n">
        <v>2</v>
      </c>
      <c r="R15" s="30" t="n">
        <v>24</v>
      </c>
      <c r="S15" s="30" t="n">
        <v>944</v>
      </c>
      <c r="T15" s="30" t="n">
        <v>944</v>
      </c>
      <c r="U15" s="30" t="n">
        <v>944</v>
      </c>
      <c r="V15" s="30"/>
      <c r="W15" s="30" t="s">
        <v>53</v>
      </c>
      <c r="X15" s="30" t="s">
        <v>53</v>
      </c>
      <c r="Y15" s="30" t="s">
        <v>53</v>
      </c>
      <c r="Z15" s="30" t="s">
        <v>53</v>
      </c>
      <c r="AA15" s="30" t="s">
        <v>53</v>
      </c>
      <c r="AB15" s="30" t="s">
        <v>53</v>
      </c>
      <c r="AC15" s="30" t="s">
        <v>53</v>
      </c>
      <c r="AD15" s="30" t="s">
        <v>53</v>
      </c>
      <c r="AE15" s="30" t="s">
        <v>54</v>
      </c>
      <c r="AF15" s="30" t="n">
        <v>0</v>
      </c>
      <c r="AG15" s="30" t="n">
        <v>0</v>
      </c>
      <c r="AH15" s="30" t="n">
        <v>2</v>
      </c>
      <c r="AI15" s="30" t="n">
        <v>0</v>
      </c>
      <c r="AJ15" s="30" t="n">
        <v>1</v>
      </c>
      <c r="AK15" s="30" t="n">
        <v>0</v>
      </c>
      <c r="AL15" s="26"/>
    </row>
    <row collapsed="false" customFormat="false" customHeight="false" hidden="false" ht="14.5" outlineLevel="0" r="16">
      <c r="A16" s="30" t="n">
        <v>9</v>
      </c>
      <c r="B16" s="30" t="s">
        <v>45</v>
      </c>
      <c r="C16" s="30" t="s">
        <v>59</v>
      </c>
      <c r="D16" s="30" t="s">
        <v>60</v>
      </c>
      <c r="E16" s="30" t="n">
        <v>12</v>
      </c>
      <c r="F16" s="30"/>
      <c r="G16" s="30"/>
      <c r="H16" s="30" t="s">
        <v>71</v>
      </c>
      <c r="I16" s="30" t="s">
        <v>56</v>
      </c>
      <c r="J16" s="30"/>
      <c r="K16" s="30" t="s">
        <v>64</v>
      </c>
      <c r="L16" s="30"/>
      <c r="M16" s="30" t="n">
        <v>1961</v>
      </c>
      <c r="N16" s="30" t="s">
        <v>58</v>
      </c>
      <c r="O16" s="30" t="n">
        <v>4</v>
      </c>
      <c r="P16" s="30" t="n">
        <v>0</v>
      </c>
      <c r="Q16" s="30" t="n">
        <v>3</v>
      </c>
      <c r="R16" s="30" t="n">
        <v>40</v>
      </c>
      <c r="S16" s="30" t="n">
        <v>2103.8</v>
      </c>
      <c r="T16" s="30" t="n">
        <v>2103.8</v>
      </c>
      <c r="U16" s="30" t="n">
        <v>1662</v>
      </c>
      <c r="V16" s="30" t="n">
        <v>441.8</v>
      </c>
      <c r="W16" s="30" t="s">
        <v>53</v>
      </c>
      <c r="X16" s="30" t="s">
        <v>53</v>
      </c>
      <c r="Y16" s="30" t="s">
        <v>53</v>
      </c>
      <c r="Z16" s="30" t="s">
        <v>53</v>
      </c>
      <c r="AA16" s="30" t="s">
        <v>53</v>
      </c>
      <c r="AB16" s="30" t="s">
        <v>53</v>
      </c>
      <c r="AC16" s="30" t="s">
        <v>53</v>
      </c>
      <c r="AD16" s="30" t="s">
        <v>53</v>
      </c>
      <c r="AE16" s="30" t="s">
        <v>54</v>
      </c>
      <c r="AF16" s="30" t="n">
        <v>0</v>
      </c>
      <c r="AG16" s="30" t="n">
        <v>0</v>
      </c>
      <c r="AH16" s="30" t="n">
        <v>1</v>
      </c>
      <c r="AI16" s="30" t="n">
        <v>0</v>
      </c>
      <c r="AJ16" s="30" t="n">
        <v>1</v>
      </c>
      <c r="AK16" s="30" t="n">
        <v>0</v>
      </c>
      <c r="AL16" s="26"/>
    </row>
    <row collapsed="false" customFormat="false" customHeight="false" hidden="false" ht="14.5" outlineLevel="0" r="17">
      <c r="A17" s="30" t="n">
        <v>10</v>
      </c>
      <c r="B17" s="30" t="s">
        <v>45</v>
      </c>
      <c r="C17" s="30" t="s">
        <v>59</v>
      </c>
      <c r="D17" s="30" t="s">
        <v>60</v>
      </c>
      <c r="E17" s="30" t="n">
        <v>13</v>
      </c>
      <c r="F17" s="30"/>
      <c r="G17" s="30"/>
      <c r="H17" s="30" t="s">
        <v>72</v>
      </c>
      <c r="I17" s="30" t="s">
        <v>56</v>
      </c>
      <c r="J17" s="30"/>
      <c r="K17" s="30" t="s">
        <v>64</v>
      </c>
      <c r="L17" s="30"/>
      <c r="M17" s="30" t="n">
        <v>1957</v>
      </c>
      <c r="N17" s="30" t="s">
        <v>58</v>
      </c>
      <c r="O17" s="30" t="n">
        <v>3</v>
      </c>
      <c r="P17" s="30" t="n">
        <v>0</v>
      </c>
      <c r="Q17" s="30" t="n">
        <v>3</v>
      </c>
      <c r="R17" s="30" t="n">
        <v>29</v>
      </c>
      <c r="S17" s="30" t="n">
        <v>1832.1</v>
      </c>
      <c r="T17" s="30" t="n">
        <v>1832.1</v>
      </c>
      <c r="U17" s="30" t="n">
        <v>1472</v>
      </c>
      <c r="V17" s="30" t="n">
        <v>360.1</v>
      </c>
      <c r="W17" s="30" t="s">
        <v>53</v>
      </c>
      <c r="X17" s="30" t="s">
        <v>53</v>
      </c>
      <c r="Y17" s="30" t="s">
        <v>53</v>
      </c>
      <c r="Z17" s="30" t="s">
        <v>53</v>
      </c>
      <c r="AA17" s="30" t="s">
        <v>53</v>
      </c>
      <c r="AB17" s="30" t="s">
        <v>53</v>
      </c>
      <c r="AC17" s="30" t="s">
        <v>53</v>
      </c>
      <c r="AD17" s="30" t="s">
        <v>53</v>
      </c>
      <c r="AE17" s="30" t="s">
        <v>54</v>
      </c>
      <c r="AF17" s="30" t="n">
        <v>0</v>
      </c>
      <c r="AG17" s="30" t="n">
        <v>0</v>
      </c>
      <c r="AH17" s="30" t="n">
        <v>1</v>
      </c>
      <c r="AI17" s="30" t="n">
        <v>0</v>
      </c>
      <c r="AJ17" s="30" t="n">
        <v>1</v>
      </c>
      <c r="AK17" s="30" t="n">
        <v>0</v>
      </c>
      <c r="AL17" s="26"/>
    </row>
    <row collapsed="false" customFormat="false" customHeight="false" hidden="false" ht="14.5" outlineLevel="0" r="18">
      <c r="A18" s="30" t="n">
        <v>11</v>
      </c>
      <c r="B18" s="30" t="s">
        <v>45</v>
      </c>
      <c r="C18" s="30" t="s">
        <v>59</v>
      </c>
      <c r="D18" s="30" t="s">
        <v>60</v>
      </c>
      <c r="E18" s="30" t="n">
        <v>13</v>
      </c>
      <c r="F18" s="30" t="s">
        <v>67</v>
      </c>
      <c r="G18" s="30"/>
      <c r="H18" s="30" t="s">
        <v>73</v>
      </c>
      <c r="I18" s="30" t="s">
        <v>56</v>
      </c>
      <c r="J18" s="30"/>
      <c r="K18" s="30" t="s">
        <v>64</v>
      </c>
      <c r="L18" s="30"/>
      <c r="M18" s="30" t="n">
        <v>1959</v>
      </c>
      <c r="N18" s="30" t="s">
        <v>58</v>
      </c>
      <c r="O18" s="30" t="n">
        <v>3</v>
      </c>
      <c r="P18" s="30" t="n">
        <v>0</v>
      </c>
      <c r="Q18" s="30" t="n">
        <v>3</v>
      </c>
      <c r="R18" s="30" t="n">
        <v>36</v>
      </c>
      <c r="S18" s="30" t="n">
        <v>1480</v>
      </c>
      <c r="T18" s="30" t="n">
        <v>1480</v>
      </c>
      <c r="U18" s="30" t="n">
        <v>1480</v>
      </c>
      <c r="V18" s="30"/>
      <c r="W18" s="30" t="s">
        <v>53</v>
      </c>
      <c r="X18" s="30" t="s">
        <v>53</v>
      </c>
      <c r="Y18" s="30" t="s">
        <v>53</v>
      </c>
      <c r="Z18" s="30" t="s">
        <v>53</v>
      </c>
      <c r="AA18" s="30" t="s">
        <v>53</v>
      </c>
      <c r="AB18" s="30" t="s">
        <v>53</v>
      </c>
      <c r="AC18" s="30" t="s">
        <v>53</v>
      </c>
      <c r="AD18" s="30" t="s">
        <v>53</v>
      </c>
      <c r="AE18" s="30" t="s">
        <v>54</v>
      </c>
      <c r="AF18" s="30" t="n">
        <v>0</v>
      </c>
      <c r="AG18" s="30" t="n">
        <v>0</v>
      </c>
      <c r="AH18" s="30" t="n">
        <v>1</v>
      </c>
      <c r="AI18" s="30" t="n">
        <v>0</v>
      </c>
      <c r="AJ18" s="30" t="n">
        <v>1</v>
      </c>
      <c r="AK18" s="30" t="n">
        <v>0</v>
      </c>
      <c r="AL18" s="26"/>
    </row>
    <row collapsed="false" customFormat="false" customHeight="false" hidden="false" ht="14.5" outlineLevel="0" r="19">
      <c r="A19" s="30" t="n">
        <v>12</v>
      </c>
      <c r="B19" s="30" t="s">
        <v>45</v>
      </c>
      <c r="C19" s="30" t="s">
        <v>59</v>
      </c>
      <c r="D19" s="30" t="s">
        <v>60</v>
      </c>
      <c r="E19" s="30" t="n">
        <v>13</v>
      </c>
      <c r="F19" s="30" t="s">
        <v>69</v>
      </c>
      <c r="G19" s="30"/>
      <c r="H19" s="30" t="s">
        <v>74</v>
      </c>
      <c r="I19" s="30" t="s">
        <v>56</v>
      </c>
      <c r="J19" s="30"/>
      <c r="K19" s="30" t="s">
        <v>64</v>
      </c>
      <c r="L19" s="30"/>
      <c r="M19" s="30" t="n">
        <v>1960</v>
      </c>
      <c r="N19" s="30" t="s">
        <v>58</v>
      </c>
      <c r="O19" s="30" t="n">
        <v>3</v>
      </c>
      <c r="P19" s="30" t="n">
        <v>0</v>
      </c>
      <c r="Q19" s="30" t="n">
        <v>2</v>
      </c>
      <c r="R19" s="30" t="n">
        <v>24</v>
      </c>
      <c r="S19" s="30" t="n">
        <v>957</v>
      </c>
      <c r="T19" s="30" t="n">
        <v>957</v>
      </c>
      <c r="U19" s="30" t="n">
        <v>957</v>
      </c>
      <c r="V19" s="30"/>
      <c r="W19" s="30" t="s">
        <v>53</v>
      </c>
      <c r="X19" s="30" t="s">
        <v>53</v>
      </c>
      <c r="Y19" s="30" t="s">
        <v>53</v>
      </c>
      <c r="Z19" s="30" t="s">
        <v>53</v>
      </c>
      <c r="AA19" s="30" t="s">
        <v>53</v>
      </c>
      <c r="AB19" s="30" t="s">
        <v>53</v>
      </c>
      <c r="AC19" s="30" t="s">
        <v>53</v>
      </c>
      <c r="AD19" s="30" t="s">
        <v>53</v>
      </c>
      <c r="AE19" s="30" t="s">
        <v>54</v>
      </c>
      <c r="AF19" s="30" t="n">
        <v>0</v>
      </c>
      <c r="AG19" s="30" t="n">
        <v>0</v>
      </c>
      <c r="AH19" s="30" t="n">
        <v>2</v>
      </c>
      <c r="AI19" s="30" t="n">
        <v>0</v>
      </c>
      <c r="AJ19" s="30" t="n">
        <v>1</v>
      </c>
      <c r="AK19" s="30" t="n">
        <v>0</v>
      </c>
      <c r="AL19" s="26"/>
    </row>
    <row collapsed="false" customFormat="false" customHeight="false" hidden="false" ht="14.5" outlineLevel="0" r="20">
      <c r="A20" s="30" t="n">
        <v>13</v>
      </c>
      <c r="B20" s="30" t="s">
        <v>45</v>
      </c>
      <c r="C20" s="30" t="s">
        <v>59</v>
      </c>
      <c r="D20" s="30" t="s">
        <v>60</v>
      </c>
      <c r="E20" s="30" t="n">
        <v>15</v>
      </c>
      <c r="F20" s="30"/>
      <c r="G20" s="30"/>
      <c r="H20" s="30" t="s">
        <v>75</v>
      </c>
      <c r="I20" s="30" t="s">
        <v>56</v>
      </c>
      <c r="J20" s="30"/>
      <c r="K20" s="30" t="s">
        <v>64</v>
      </c>
      <c r="L20" s="30"/>
      <c r="M20" s="30" t="n">
        <v>1958</v>
      </c>
      <c r="N20" s="30" t="s">
        <v>58</v>
      </c>
      <c r="O20" s="30" t="n">
        <v>3</v>
      </c>
      <c r="P20" s="30" t="n">
        <v>0</v>
      </c>
      <c r="Q20" s="30" t="n">
        <v>2</v>
      </c>
      <c r="R20" s="30" t="n">
        <v>27</v>
      </c>
      <c r="S20" s="30" t="n">
        <v>1328</v>
      </c>
      <c r="T20" s="30" t="n">
        <v>1328</v>
      </c>
      <c r="U20" s="30" t="n">
        <v>1328</v>
      </c>
      <c r="V20" s="30"/>
      <c r="W20" s="30" t="s">
        <v>53</v>
      </c>
      <c r="X20" s="30" t="s">
        <v>53</v>
      </c>
      <c r="Y20" s="30" t="s">
        <v>53</v>
      </c>
      <c r="Z20" s="30" t="s">
        <v>53</v>
      </c>
      <c r="AA20" s="30" t="s">
        <v>53</v>
      </c>
      <c r="AB20" s="30" t="s">
        <v>53</v>
      </c>
      <c r="AC20" s="30" t="s">
        <v>53</v>
      </c>
      <c r="AD20" s="30" t="s">
        <v>53</v>
      </c>
      <c r="AE20" s="30" t="s">
        <v>54</v>
      </c>
      <c r="AF20" s="30" t="n">
        <v>0</v>
      </c>
      <c r="AG20" s="30" t="n">
        <v>0</v>
      </c>
      <c r="AH20" s="30" t="n">
        <v>1</v>
      </c>
      <c r="AI20" s="30" t="n">
        <v>0</v>
      </c>
      <c r="AJ20" s="30" t="n">
        <v>0</v>
      </c>
      <c r="AK20" s="30" t="n">
        <v>0</v>
      </c>
      <c r="AL20" s="26"/>
    </row>
    <row collapsed="false" customFormat="false" customHeight="false" hidden="false" ht="14.5" outlineLevel="0" r="21">
      <c r="A21" s="30" t="n">
        <v>14</v>
      </c>
      <c r="B21" s="30" t="s">
        <v>45</v>
      </c>
      <c r="C21" s="30" t="s">
        <v>59</v>
      </c>
      <c r="D21" s="30" t="s">
        <v>60</v>
      </c>
      <c r="E21" s="30" t="n">
        <v>15</v>
      </c>
      <c r="F21" s="30" t="s">
        <v>67</v>
      </c>
      <c r="G21" s="30"/>
      <c r="H21" s="30" t="s">
        <v>76</v>
      </c>
      <c r="I21" s="30" t="s">
        <v>56</v>
      </c>
      <c r="J21" s="30"/>
      <c r="K21" s="30" t="s">
        <v>64</v>
      </c>
      <c r="L21" s="30"/>
      <c r="M21" s="30" t="n">
        <v>1960</v>
      </c>
      <c r="N21" s="30" t="s">
        <v>58</v>
      </c>
      <c r="O21" s="30" t="n">
        <v>3</v>
      </c>
      <c r="P21" s="30" t="n">
        <v>0</v>
      </c>
      <c r="Q21" s="30" t="n">
        <v>3</v>
      </c>
      <c r="R21" s="30" t="n">
        <v>36</v>
      </c>
      <c r="S21" s="30" t="n">
        <v>1504</v>
      </c>
      <c r="T21" s="30" t="n">
        <v>1504</v>
      </c>
      <c r="U21" s="30" t="n">
        <v>1504</v>
      </c>
      <c r="V21" s="30"/>
      <c r="W21" s="30" t="s">
        <v>53</v>
      </c>
      <c r="X21" s="30" t="s">
        <v>53</v>
      </c>
      <c r="Y21" s="30" t="s">
        <v>53</v>
      </c>
      <c r="Z21" s="30" t="s">
        <v>53</v>
      </c>
      <c r="AA21" s="30" t="s">
        <v>53</v>
      </c>
      <c r="AB21" s="30" t="s">
        <v>53</v>
      </c>
      <c r="AC21" s="30" t="s">
        <v>53</v>
      </c>
      <c r="AD21" s="30" t="s">
        <v>53</v>
      </c>
      <c r="AE21" s="30" t="s">
        <v>54</v>
      </c>
      <c r="AF21" s="30" t="n">
        <v>0</v>
      </c>
      <c r="AG21" s="30" t="n">
        <v>0</v>
      </c>
      <c r="AH21" s="30" t="n">
        <v>2</v>
      </c>
      <c r="AI21" s="30" t="n">
        <v>0</v>
      </c>
      <c r="AJ21" s="30" t="n">
        <v>0</v>
      </c>
      <c r="AK21" s="30" t="n">
        <v>0</v>
      </c>
      <c r="AL21" s="26"/>
    </row>
    <row collapsed="false" customFormat="false" customHeight="false" hidden="false" ht="14.5" outlineLevel="0" r="22">
      <c r="A22" s="30" t="n">
        <v>15</v>
      </c>
      <c r="B22" s="30" t="s">
        <v>45</v>
      </c>
      <c r="C22" s="30" t="s">
        <v>59</v>
      </c>
      <c r="D22" s="30" t="s">
        <v>60</v>
      </c>
      <c r="E22" s="30" t="n">
        <v>15</v>
      </c>
      <c r="F22" s="30" t="s">
        <v>69</v>
      </c>
      <c r="G22" s="30"/>
      <c r="H22" s="30" t="s">
        <v>77</v>
      </c>
      <c r="I22" s="30" t="s">
        <v>56</v>
      </c>
      <c r="J22" s="30"/>
      <c r="K22" s="30" t="s">
        <v>64</v>
      </c>
      <c r="L22" s="30"/>
      <c r="M22" s="30" t="n">
        <v>1962</v>
      </c>
      <c r="N22" s="30" t="s">
        <v>58</v>
      </c>
      <c r="O22" s="30" t="n">
        <v>3</v>
      </c>
      <c r="P22" s="30" t="n">
        <v>0</v>
      </c>
      <c r="Q22" s="30" t="n">
        <v>3</v>
      </c>
      <c r="R22" s="30" t="n">
        <v>36</v>
      </c>
      <c r="S22" s="30" t="n">
        <v>1508</v>
      </c>
      <c r="T22" s="30" t="n">
        <v>1508</v>
      </c>
      <c r="U22" s="30" t="n">
        <v>1508</v>
      </c>
      <c r="V22" s="30"/>
      <c r="W22" s="30" t="s">
        <v>53</v>
      </c>
      <c r="X22" s="30" t="s">
        <v>53</v>
      </c>
      <c r="Y22" s="30" t="s">
        <v>53</v>
      </c>
      <c r="Z22" s="30" t="s">
        <v>53</v>
      </c>
      <c r="AA22" s="30" t="s">
        <v>53</v>
      </c>
      <c r="AB22" s="30" t="s">
        <v>53</v>
      </c>
      <c r="AC22" s="30" t="s">
        <v>53</v>
      </c>
      <c r="AD22" s="30" t="s">
        <v>53</v>
      </c>
      <c r="AE22" s="30" t="s">
        <v>54</v>
      </c>
      <c r="AF22" s="30" t="n">
        <v>0</v>
      </c>
      <c r="AG22" s="30" t="n">
        <v>0</v>
      </c>
      <c r="AH22" s="30" t="n">
        <v>0</v>
      </c>
      <c r="AI22" s="30" t="n">
        <v>0</v>
      </c>
      <c r="AJ22" s="30" t="n">
        <v>1</v>
      </c>
      <c r="AK22" s="30" t="n">
        <v>0</v>
      </c>
      <c r="AL22" s="26"/>
    </row>
    <row collapsed="false" customFormat="false" customHeight="false" hidden="false" ht="14.5" outlineLevel="0" r="23">
      <c r="A23" s="30" t="n">
        <v>16</v>
      </c>
      <c r="B23" s="30" t="s">
        <v>45</v>
      </c>
      <c r="C23" s="30" t="s">
        <v>59</v>
      </c>
      <c r="D23" s="30" t="s">
        <v>60</v>
      </c>
      <c r="E23" s="30" t="n">
        <v>16</v>
      </c>
      <c r="F23" s="30"/>
      <c r="G23" s="30"/>
      <c r="H23" s="30" t="s">
        <v>78</v>
      </c>
      <c r="I23" s="30" t="s">
        <v>56</v>
      </c>
      <c r="J23" s="30"/>
      <c r="K23" s="30" t="s">
        <v>64</v>
      </c>
      <c r="L23" s="30" t="s">
        <v>57</v>
      </c>
      <c r="M23" s="30" t="n">
        <v>1956</v>
      </c>
      <c r="N23" s="30" t="s">
        <v>58</v>
      </c>
      <c r="O23" s="30" t="n">
        <v>3</v>
      </c>
      <c r="P23" s="30" t="n">
        <v>0</v>
      </c>
      <c r="Q23" s="30" t="n">
        <v>4</v>
      </c>
      <c r="R23" s="30" t="n">
        <v>23</v>
      </c>
      <c r="S23" s="30" t="n">
        <v>2061.2</v>
      </c>
      <c r="T23" s="30" t="n">
        <v>2061.2</v>
      </c>
      <c r="U23" s="30" t="n">
        <v>1502</v>
      </c>
      <c r="V23" s="30" t="n">
        <v>559.2</v>
      </c>
      <c r="W23" s="30" t="s">
        <v>53</v>
      </c>
      <c r="X23" s="30" t="s">
        <v>53</v>
      </c>
      <c r="Y23" s="30" t="s">
        <v>53</v>
      </c>
      <c r="Z23" s="30" t="s">
        <v>53</v>
      </c>
      <c r="AA23" s="30" t="s">
        <v>53</v>
      </c>
      <c r="AB23" s="30" t="s">
        <v>53</v>
      </c>
      <c r="AC23" s="30" t="s">
        <v>53</v>
      </c>
      <c r="AD23" s="30" t="s">
        <v>53</v>
      </c>
      <c r="AE23" s="30" t="s">
        <v>54</v>
      </c>
      <c r="AF23" s="30" t="n">
        <v>0</v>
      </c>
      <c r="AG23" s="30" t="n">
        <v>0</v>
      </c>
      <c r="AH23" s="30" t="n">
        <v>1</v>
      </c>
      <c r="AI23" s="30" t="n">
        <v>0</v>
      </c>
      <c r="AJ23" s="30" t="n">
        <v>1</v>
      </c>
      <c r="AK23" s="30" t="n">
        <v>0</v>
      </c>
      <c r="AL23" s="26"/>
    </row>
    <row collapsed="false" customFormat="false" customHeight="false" hidden="false" ht="14.5" outlineLevel="0" r="24">
      <c r="A24" s="30" t="n">
        <v>17</v>
      </c>
      <c r="B24" s="30" t="s">
        <v>45</v>
      </c>
      <c r="C24" s="30" t="s">
        <v>59</v>
      </c>
      <c r="D24" s="30" t="s">
        <v>60</v>
      </c>
      <c r="E24" s="30" t="s">
        <v>79</v>
      </c>
      <c r="F24" s="30"/>
      <c r="G24" s="30"/>
      <c r="H24" s="30" t="s">
        <v>80</v>
      </c>
      <c r="I24" s="30" t="s">
        <v>56</v>
      </c>
      <c r="J24" s="30"/>
      <c r="K24" s="30" t="s">
        <v>81</v>
      </c>
      <c r="L24" s="30" t="s">
        <v>51</v>
      </c>
      <c r="M24" s="30" t="n">
        <v>1956</v>
      </c>
      <c r="N24" s="30" t="s">
        <v>58</v>
      </c>
      <c r="O24" s="30" t="s">
        <v>82</v>
      </c>
      <c r="P24" s="30" t="n">
        <v>0</v>
      </c>
      <c r="Q24" s="30" t="n">
        <v>5</v>
      </c>
      <c r="R24" s="30" t="n">
        <v>33</v>
      </c>
      <c r="S24" s="30" t="n">
        <v>2199.8</v>
      </c>
      <c r="T24" s="30" t="n">
        <v>2199.8</v>
      </c>
      <c r="U24" s="30" t="n">
        <v>2078</v>
      </c>
      <c r="V24" s="30" t="n">
        <v>121.8</v>
      </c>
      <c r="W24" s="30" t="s">
        <v>53</v>
      </c>
      <c r="X24" s="30" t="s">
        <v>53</v>
      </c>
      <c r="Y24" s="30" t="s">
        <v>53</v>
      </c>
      <c r="Z24" s="30" t="s">
        <v>53</v>
      </c>
      <c r="AA24" s="30" t="s">
        <v>53</v>
      </c>
      <c r="AB24" s="30" t="s">
        <v>53</v>
      </c>
      <c r="AC24" s="30" t="s">
        <v>53</v>
      </c>
      <c r="AD24" s="30" t="s">
        <v>53</v>
      </c>
      <c r="AE24" s="30" t="s">
        <v>54</v>
      </c>
      <c r="AF24" s="30" t="n">
        <v>0</v>
      </c>
      <c r="AG24" s="30" t="n">
        <v>0</v>
      </c>
      <c r="AH24" s="30" t="n">
        <v>2</v>
      </c>
      <c r="AI24" s="30" t="n">
        <v>0</v>
      </c>
      <c r="AJ24" s="30" t="n">
        <v>1</v>
      </c>
      <c r="AK24" s="30" t="n">
        <v>0</v>
      </c>
      <c r="AL24" s="26"/>
    </row>
    <row collapsed="false" customFormat="false" customHeight="false" hidden="false" ht="14.5" outlineLevel="0" r="25">
      <c r="A25" s="30" t="n">
        <v>18</v>
      </c>
      <c r="B25" s="30" t="s">
        <v>45</v>
      </c>
      <c r="C25" s="30" t="s">
        <v>59</v>
      </c>
      <c r="D25" s="30" t="s">
        <v>60</v>
      </c>
      <c r="E25" s="30" t="n">
        <v>18</v>
      </c>
      <c r="F25" s="30"/>
      <c r="G25" s="30"/>
      <c r="H25" s="30" t="s">
        <v>83</v>
      </c>
      <c r="I25" s="30" t="s">
        <v>56</v>
      </c>
      <c r="J25" s="30"/>
      <c r="K25" s="30" t="s">
        <v>57</v>
      </c>
      <c r="L25" s="30" t="s">
        <v>51</v>
      </c>
      <c r="M25" s="30" t="n">
        <v>1917</v>
      </c>
      <c r="N25" s="30" t="s">
        <v>58</v>
      </c>
      <c r="O25" s="30" t="n">
        <v>3</v>
      </c>
      <c r="P25" s="30" t="n">
        <v>0</v>
      </c>
      <c r="Q25" s="30" t="n">
        <v>3</v>
      </c>
      <c r="R25" s="30" t="n">
        <v>21</v>
      </c>
      <c r="S25" s="30" t="n">
        <v>1717</v>
      </c>
      <c r="T25" s="30" t="n">
        <v>1717</v>
      </c>
      <c r="U25" s="30" t="n">
        <v>1717</v>
      </c>
      <c r="V25" s="30"/>
      <c r="W25" s="30" t="s">
        <v>53</v>
      </c>
      <c r="X25" s="30" t="s">
        <v>53</v>
      </c>
      <c r="Y25" s="30" t="s">
        <v>53</v>
      </c>
      <c r="Z25" s="30" t="s">
        <v>53</v>
      </c>
      <c r="AA25" s="30" t="s">
        <v>53</v>
      </c>
      <c r="AB25" s="30" t="s">
        <v>53</v>
      </c>
      <c r="AC25" s="30" t="s">
        <v>53</v>
      </c>
      <c r="AD25" s="30" t="s">
        <v>53</v>
      </c>
      <c r="AE25" s="30" t="s">
        <v>54</v>
      </c>
      <c r="AF25" s="30" t="n">
        <v>0</v>
      </c>
      <c r="AG25" s="30" t="n">
        <v>0</v>
      </c>
      <c r="AH25" s="30" t="n">
        <v>1</v>
      </c>
      <c r="AI25" s="30" t="n">
        <v>0</v>
      </c>
      <c r="AJ25" s="30" t="n">
        <v>0</v>
      </c>
      <c r="AK25" s="30" t="n">
        <v>0</v>
      </c>
      <c r="AL25" s="26"/>
    </row>
    <row collapsed="false" customFormat="false" customHeight="false" hidden="false" ht="14.5" outlineLevel="0" r="26">
      <c r="A26" s="30" t="n">
        <v>19</v>
      </c>
      <c r="B26" s="30" t="s">
        <v>45</v>
      </c>
      <c r="C26" s="30" t="s">
        <v>59</v>
      </c>
      <c r="D26" s="30" t="s">
        <v>60</v>
      </c>
      <c r="E26" s="30" t="n">
        <v>20</v>
      </c>
      <c r="F26" s="30"/>
      <c r="G26" s="30"/>
      <c r="H26" s="30" t="s">
        <v>84</v>
      </c>
      <c r="I26" s="30" t="s">
        <v>56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 t="n">
        <v>480</v>
      </c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26"/>
    </row>
    <row collapsed="false" customFormat="false" customHeight="false" hidden="false" ht="14.5" outlineLevel="0" r="27">
      <c r="A27" s="30" t="n">
        <v>20</v>
      </c>
      <c r="B27" s="30" t="s">
        <v>45</v>
      </c>
      <c r="C27" s="30" t="s">
        <v>59</v>
      </c>
      <c r="D27" s="30" t="s">
        <v>60</v>
      </c>
      <c r="E27" s="30" t="n">
        <v>32</v>
      </c>
      <c r="F27" s="30"/>
      <c r="G27" s="30"/>
      <c r="H27" s="30" t="s">
        <v>85</v>
      </c>
      <c r="I27" s="30" t="s">
        <v>56</v>
      </c>
      <c r="J27" s="30" t="s">
        <v>86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26"/>
    </row>
    <row collapsed="false" customFormat="false" customHeight="false" hidden="false" ht="14.5" outlineLevel="0" r="28">
      <c r="A28" s="30" t="n">
        <v>21</v>
      </c>
      <c r="B28" s="30" t="s">
        <v>45</v>
      </c>
      <c r="C28" s="30" t="s">
        <v>59</v>
      </c>
      <c r="D28" s="30" t="s">
        <v>60</v>
      </c>
      <c r="E28" s="30" t="n">
        <v>43</v>
      </c>
      <c r="F28" s="30"/>
      <c r="G28" s="30"/>
      <c r="H28" s="30" t="s">
        <v>87</v>
      </c>
      <c r="I28" s="30" t="s">
        <v>56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 t="n">
        <v>468</v>
      </c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26"/>
    </row>
    <row collapsed="false" customFormat="false" customHeight="false" hidden="false" ht="14.5" outlineLevel="0" r="29">
      <c r="A29" s="30" t="n">
        <v>22</v>
      </c>
      <c r="B29" s="30" t="s">
        <v>45</v>
      </c>
      <c r="C29" s="30" t="s">
        <v>59</v>
      </c>
      <c r="D29" s="30" t="s">
        <v>60</v>
      </c>
      <c r="E29" s="30" t="n">
        <v>45</v>
      </c>
      <c r="F29" s="30"/>
      <c r="G29" s="30"/>
      <c r="H29" s="30" t="s">
        <v>88</v>
      </c>
      <c r="I29" s="30" t="s">
        <v>56</v>
      </c>
      <c r="J29" s="30" t="s">
        <v>86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26"/>
    </row>
    <row collapsed="false" customFormat="false" customHeight="false" hidden="false" ht="14.5" outlineLevel="0" r="30">
      <c r="A30" s="30" t="n">
        <v>23</v>
      </c>
      <c r="B30" s="30" t="s">
        <v>45</v>
      </c>
      <c r="C30" s="30" t="s">
        <v>46</v>
      </c>
      <c r="D30" s="30" t="s">
        <v>89</v>
      </c>
      <c r="E30" s="30" t="n">
        <v>5</v>
      </c>
      <c r="F30" s="30"/>
      <c r="G30" s="30"/>
      <c r="H30" s="30" t="s">
        <v>90</v>
      </c>
      <c r="I30" s="30" t="s">
        <v>56</v>
      </c>
      <c r="J30" s="30"/>
      <c r="K30" s="30" t="s">
        <v>64</v>
      </c>
      <c r="L30" s="30" t="s">
        <v>51</v>
      </c>
      <c r="M30" s="30" t="n">
        <v>1959</v>
      </c>
      <c r="N30" s="30" t="s">
        <v>58</v>
      </c>
      <c r="O30" s="30" t="n">
        <v>2</v>
      </c>
      <c r="P30" s="30" t="n">
        <v>0</v>
      </c>
      <c r="Q30" s="30" t="n">
        <v>2</v>
      </c>
      <c r="R30" s="30" t="n">
        <v>12</v>
      </c>
      <c r="S30" s="30" t="n">
        <v>596.4</v>
      </c>
      <c r="T30" s="30" t="n">
        <v>596.4</v>
      </c>
      <c r="U30" s="30" t="n">
        <v>596.4</v>
      </c>
      <c r="V30" s="30"/>
      <c r="W30" s="30" t="s">
        <v>53</v>
      </c>
      <c r="X30" s="30" t="s">
        <v>53</v>
      </c>
      <c r="Y30" s="30" t="s">
        <v>54</v>
      </c>
      <c r="Z30" s="30" t="s">
        <v>53</v>
      </c>
      <c r="AA30" s="30" t="s">
        <v>53</v>
      </c>
      <c r="AB30" s="30" t="s">
        <v>53</v>
      </c>
      <c r="AC30" s="30" t="s">
        <v>53</v>
      </c>
      <c r="AD30" s="30" t="s">
        <v>53</v>
      </c>
      <c r="AE30" s="30" t="s">
        <v>54</v>
      </c>
      <c r="AF30" s="30" t="n">
        <v>0</v>
      </c>
      <c r="AG30" s="30" t="n">
        <v>0</v>
      </c>
      <c r="AH30" s="30" t="n">
        <v>1</v>
      </c>
      <c r="AI30" s="30" t="n">
        <v>0</v>
      </c>
      <c r="AJ30" s="30" t="n">
        <v>1</v>
      </c>
      <c r="AK30" s="30" t="n">
        <v>0</v>
      </c>
      <c r="AL30" s="26"/>
    </row>
    <row collapsed="false" customFormat="false" customHeight="false" hidden="false" ht="14.5" outlineLevel="0" r="31">
      <c r="A31" s="30" t="n">
        <v>24</v>
      </c>
      <c r="B31" s="30" t="s">
        <v>45</v>
      </c>
      <c r="C31" s="30" t="s">
        <v>46</v>
      </c>
      <c r="D31" s="30" t="s">
        <v>89</v>
      </c>
      <c r="E31" s="30" t="s">
        <v>91</v>
      </c>
      <c r="F31" s="30"/>
      <c r="G31" s="30"/>
      <c r="H31" s="30" t="s">
        <v>92</v>
      </c>
      <c r="I31" s="30" t="s">
        <v>56</v>
      </c>
      <c r="J31" s="30"/>
      <c r="K31" s="30" t="s">
        <v>57</v>
      </c>
      <c r="L31" s="30" t="s">
        <v>51</v>
      </c>
      <c r="M31" s="30" t="n">
        <v>1917</v>
      </c>
      <c r="N31" s="30" t="s">
        <v>58</v>
      </c>
      <c r="O31" s="30" t="n">
        <v>3</v>
      </c>
      <c r="P31" s="30" t="n">
        <v>0</v>
      </c>
      <c r="Q31" s="30" t="n">
        <v>1</v>
      </c>
      <c r="R31" s="30" t="n">
        <v>18</v>
      </c>
      <c r="S31" s="30" t="n">
        <v>984.9</v>
      </c>
      <c r="T31" s="30" t="n">
        <v>984.9</v>
      </c>
      <c r="U31" s="30" t="n">
        <v>984.9</v>
      </c>
      <c r="V31" s="30"/>
      <c r="W31" s="30" t="s">
        <v>53</v>
      </c>
      <c r="X31" s="30" t="s">
        <v>53</v>
      </c>
      <c r="Y31" s="30" t="s">
        <v>53</v>
      </c>
      <c r="Z31" s="30" t="s">
        <v>53</v>
      </c>
      <c r="AA31" s="30" t="s">
        <v>53</v>
      </c>
      <c r="AB31" s="30" t="s">
        <v>53</v>
      </c>
      <c r="AC31" s="30" t="s">
        <v>54</v>
      </c>
      <c r="AD31" s="30" t="s">
        <v>53</v>
      </c>
      <c r="AE31" s="30" t="s">
        <v>54</v>
      </c>
      <c r="AF31" s="30" t="n">
        <v>0</v>
      </c>
      <c r="AG31" s="30" t="n">
        <v>0</v>
      </c>
      <c r="AH31" s="30" t="n">
        <v>1</v>
      </c>
      <c r="AI31" s="30" t="n">
        <v>1</v>
      </c>
      <c r="AJ31" s="30" t="n">
        <v>1</v>
      </c>
      <c r="AK31" s="30" t="n">
        <v>0</v>
      </c>
      <c r="AL31" s="26"/>
    </row>
    <row collapsed="false" customFormat="false" customHeight="false" hidden="false" ht="14.5" outlineLevel="0" r="32">
      <c r="A32" s="30" t="n">
        <v>25</v>
      </c>
      <c r="B32" s="30" t="s">
        <v>45</v>
      </c>
      <c r="C32" s="30" t="s">
        <v>46</v>
      </c>
      <c r="D32" s="30" t="s">
        <v>89</v>
      </c>
      <c r="E32" s="30" t="s">
        <v>93</v>
      </c>
      <c r="F32" s="30"/>
      <c r="G32" s="30"/>
      <c r="H32" s="30" t="s">
        <v>94</v>
      </c>
      <c r="I32" s="30" t="s">
        <v>56</v>
      </c>
      <c r="J32" s="30"/>
      <c r="K32" s="30" t="s">
        <v>57</v>
      </c>
      <c r="L32" s="30" t="s">
        <v>51</v>
      </c>
      <c r="M32" s="30" t="n">
        <v>1917</v>
      </c>
      <c r="N32" s="30" t="s">
        <v>58</v>
      </c>
      <c r="O32" s="30" t="n">
        <v>2</v>
      </c>
      <c r="P32" s="30" t="n">
        <v>0</v>
      </c>
      <c r="Q32" s="30" t="n">
        <v>2</v>
      </c>
      <c r="R32" s="30" t="n">
        <v>16</v>
      </c>
      <c r="S32" s="30" t="n">
        <v>1022.1</v>
      </c>
      <c r="T32" s="30" t="n">
        <v>1022.1</v>
      </c>
      <c r="U32" s="30" t="n">
        <v>1010.1</v>
      </c>
      <c r="V32" s="30"/>
      <c r="W32" s="30" t="s">
        <v>53</v>
      </c>
      <c r="X32" s="30" t="s">
        <v>53</v>
      </c>
      <c r="Y32" s="30" t="s">
        <v>54</v>
      </c>
      <c r="Z32" s="30" t="s">
        <v>53</v>
      </c>
      <c r="AA32" s="30" t="s">
        <v>53</v>
      </c>
      <c r="AB32" s="30" t="s">
        <v>53</v>
      </c>
      <c r="AC32" s="30" t="s">
        <v>53</v>
      </c>
      <c r="AD32" s="30" t="s">
        <v>53</v>
      </c>
      <c r="AE32" s="30" t="s">
        <v>54</v>
      </c>
      <c r="AF32" s="30" t="n">
        <v>0</v>
      </c>
      <c r="AG32" s="30" t="n">
        <v>0</v>
      </c>
      <c r="AH32" s="30" t="n">
        <v>1</v>
      </c>
      <c r="AI32" s="30" t="n">
        <v>0</v>
      </c>
      <c r="AJ32" s="30" t="n">
        <v>1</v>
      </c>
      <c r="AK32" s="30" t="n">
        <v>0</v>
      </c>
      <c r="AL32" s="26"/>
    </row>
    <row collapsed="false" customFormat="true" customHeight="false" hidden="false" ht="14.5" outlineLevel="0" r="33" s="32">
      <c r="A33" s="30" t="n">
        <v>26</v>
      </c>
      <c r="B33" s="30" t="s">
        <v>45</v>
      </c>
      <c r="C33" s="30" t="s">
        <v>46</v>
      </c>
      <c r="D33" s="30" t="s">
        <v>89</v>
      </c>
      <c r="E33" s="30" t="n">
        <v>17</v>
      </c>
      <c r="F33" s="30"/>
      <c r="G33" s="30"/>
      <c r="H33" s="30" t="s">
        <v>95</v>
      </c>
      <c r="I33" s="30" t="s">
        <v>56</v>
      </c>
      <c r="J33" s="30" t="s">
        <v>86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1"/>
    </row>
    <row collapsed="false" customFormat="false" customHeight="false" hidden="false" ht="14.5" outlineLevel="0" r="34">
      <c r="A34" s="30" t="n">
        <v>27</v>
      </c>
      <c r="B34" s="30" t="s">
        <v>45</v>
      </c>
      <c r="C34" s="30" t="s">
        <v>46</v>
      </c>
      <c r="D34" s="30" t="s">
        <v>89</v>
      </c>
      <c r="E34" s="30" t="s">
        <v>96</v>
      </c>
      <c r="F34" s="30"/>
      <c r="G34" s="30"/>
      <c r="H34" s="30" t="s">
        <v>97</v>
      </c>
      <c r="I34" s="30" t="s">
        <v>56</v>
      </c>
      <c r="J34" s="30"/>
      <c r="K34" s="30" t="s">
        <v>81</v>
      </c>
      <c r="L34" s="30" t="s">
        <v>51</v>
      </c>
      <c r="M34" s="30" t="n">
        <v>1936</v>
      </c>
      <c r="N34" s="30" t="s">
        <v>58</v>
      </c>
      <c r="O34" s="30" t="n">
        <v>4</v>
      </c>
      <c r="P34" s="30" t="n">
        <v>0</v>
      </c>
      <c r="Q34" s="30" t="n">
        <v>4</v>
      </c>
      <c r="R34" s="30" t="n">
        <v>34</v>
      </c>
      <c r="S34" s="30" t="n">
        <v>2826.5</v>
      </c>
      <c r="T34" s="30" t="n">
        <v>2826.5</v>
      </c>
      <c r="U34" s="30" t="n">
        <v>2668</v>
      </c>
      <c r="V34" s="30" t="n">
        <v>158.5</v>
      </c>
      <c r="W34" s="30" t="s">
        <v>53</v>
      </c>
      <c r="X34" s="30" t="s">
        <v>53</v>
      </c>
      <c r="Y34" s="30" t="s">
        <v>54</v>
      </c>
      <c r="Z34" s="30" t="s">
        <v>53</v>
      </c>
      <c r="AA34" s="30" t="s">
        <v>53</v>
      </c>
      <c r="AB34" s="30" t="s">
        <v>53</v>
      </c>
      <c r="AC34" s="30" t="s">
        <v>53</v>
      </c>
      <c r="AD34" s="30" t="s">
        <v>53</v>
      </c>
      <c r="AE34" s="30" t="s">
        <v>54</v>
      </c>
      <c r="AF34" s="30" t="n">
        <v>0</v>
      </c>
      <c r="AG34" s="30" t="n">
        <v>0</v>
      </c>
      <c r="AH34" s="30" t="n">
        <v>1</v>
      </c>
      <c r="AI34" s="30" t="n">
        <v>0</v>
      </c>
      <c r="AJ34" s="30" t="n">
        <v>1</v>
      </c>
      <c r="AK34" s="30" t="n">
        <v>0</v>
      </c>
      <c r="AL34" s="26"/>
    </row>
    <row collapsed="false" customFormat="false" customHeight="false" hidden="false" ht="14.5" outlineLevel="0" r="35">
      <c r="A35" s="30" t="n">
        <v>28</v>
      </c>
      <c r="B35" s="30" t="s">
        <v>45</v>
      </c>
      <c r="C35" s="30" t="s">
        <v>46</v>
      </c>
      <c r="D35" s="30" t="s">
        <v>89</v>
      </c>
      <c r="E35" s="30" t="s">
        <v>98</v>
      </c>
      <c r="F35" s="30"/>
      <c r="G35" s="30"/>
      <c r="H35" s="30" t="s">
        <v>99</v>
      </c>
      <c r="I35" s="30" t="s">
        <v>56</v>
      </c>
      <c r="J35" s="30"/>
      <c r="K35" s="30" t="s">
        <v>81</v>
      </c>
      <c r="L35" s="30" t="s">
        <v>51</v>
      </c>
      <c r="M35" s="30" t="n">
        <v>1937</v>
      </c>
      <c r="N35" s="30" t="s">
        <v>58</v>
      </c>
      <c r="O35" s="30" t="n">
        <v>4</v>
      </c>
      <c r="P35" s="30" t="n">
        <v>0</v>
      </c>
      <c r="Q35" s="30" t="n">
        <v>4</v>
      </c>
      <c r="R35" s="30" t="n">
        <v>34</v>
      </c>
      <c r="S35" s="30" t="n">
        <v>2702.2</v>
      </c>
      <c r="T35" s="30" t="n">
        <v>2702.2</v>
      </c>
      <c r="U35" s="30" t="n">
        <v>2590.3</v>
      </c>
      <c r="V35" s="30" t="n">
        <v>111.9</v>
      </c>
      <c r="W35" s="30" t="s">
        <v>53</v>
      </c>
      <c r="X35" s="30" t="s">
        <v>53</v>
      </c>
      <c r="Y35" s="30" t="s">
        <v>54</v>
      </c>
      <c r="Z35" s="30" t="s">
        <v>53</v>
      </c>
      <c r="AA35" s="30" t="s">
        <v>53</v>
      </c>
      <c r="AB35" s="30" t="s">
        <v>53</v>
      </c>
      <c r="AC35" s="30" t="s">
        <v>53</v>
      </c>
      <c r="AD35" s="30" t="s">
        <v>53</v>
      </c>
      <c r="AE35" s="30" t="s">
        <v>54</v>
      </c>
      <c r="AF35" s="30" t="n">
        <v>0</v>
      </c>
      <c r="AG35" s="30" t="n">
        <v>0</v>
      </c>
      <c r="AH35" s="30" t="n">
        <v>0</v>
      </c>
      <c r="AI35" s="30" t="n">
        <v>0</v>
      </c>
      <c r="AJ35" s="30" t="n">
        <v>1</v>
      </c>
      <c r="AK35" s="30" t="n">
        <v>0</v>
      </c>
      <c r="AL35" s="26"/>
    </row>
    <row collapsed="false" customFormat="false" customHeight="false" hidden="false" ht="14.5" outlineLevel="0" r="36">
      <c r="A36" s="30" t="n">
        <v>29</v>
      </c>
      <c r="B36" s="30" t="s">
        <v>45</v>
      </c>
      <c r="C36" s="30" t="s">
        <v>46</v>
      </c>
      <c r="D36" s="30" t="s">
        <v>89</v>
      </c>
      <c r="E36" s="30" t="n">
        <v>23</v>
      </c>
      <c r="F36" s="30"/>
      <c r="G36" s="30"/>
      <c r="H36" s="30" t="s">
        <v>100</v>
      </c>
      <c r="I36" s="30" t="s">
        <v>56</v>
      </c>
      <c r="J36" s="30"/>
      <c r="K36" s="30" t="s">
        <v>101</v>
      </c>
      <c r="L36" s="30" t="s">
        <v>51</v>
      </c>
      <c r="M36" s="30" t="n">
        <v>1977</v>
      </c>
      <c r="N36" s="30" t="s">
        <v>58</v>
      </c>
      <c r="O36" s="30" t="n">
        <v>5</v>
      </c>
      <c r="P36" s="30" t="n">
        <v>0</v>
      </c>
      <c r="Q36" s="30" t="n">
        <v>4</v>
      </c>
      <c r="R36" s="30" t="n">
        <v>56</v>
      </c>
      <c r="S36" s="30" t="n">
        <v>4079.3</v>
      </c>
      <c r="T36" s="30" t="n">
        <v>4079.3</v>
      </c>
      <c r="U36" s="30" t="n">
        <v>2739.1</v>
      </c>
      <c r="V36" s="30" t="n">
        <v>1340.2</v>
      </c>
      <c r="W36" s="30" t="s">
        <v>53</v>
      </c>
      <c r="X36" s="30" t="s">
        <v>53</v>
      </c>
      <c r="Y36" s="30" t="s">
        <v>54</v>
      </c>
      <c r="Z36" s="30" t="s">
        <v>53</v>
      </c>
      <c r="AA36" s="30" t="s">
        <v>53</v>
      </c>
      <c r="AB36" s="30" t="s">
        <v>53</v>
      </c>
      <c r="AC36" s="30" t="s">
        <v>53</v>
      </c>
      <c r="AD36" s="30" t="s">
        <v>53</v>
      </c>
      <c r="AE36" s="30" t="s">
        <v>54</v>
      </c>
      <c r="AF36" s="30" t="n">
        <v>0</v>
      </c>
      <c r="AG36" s="30" t="n">
        <v>0</v>
      </c>
      <c r="AH36" s="30" t="n">
        <v>1</v>
      </c>
      <c r="AI36" s="30" t="n">
        <v>0</v>
      </c>
      <c r="AJ36" s="30" t="n">
        <v>1</v>
      </c>
      <c r="AK36" s="30" t="n">
        <v>0</v>
      </c>
      <c r="AL36" s="26"/>
    </row>
    <row collapsed="false" customFormat="false" customHeight="false" hidden="false" ht="14.5" outlineLevel="0" r="37">
      <c r="A37" s="30" t="n">
        <v>30</v>
      </c>
      <c r="B37" s="30" t="s">
        <v>45</v>
      </c>
      <c r="C37" s="30" t="s">
        <v>46</v>
      </c>
      <c r="D37" s="30" t="s">
        <v>89</v>
      </c>
      <c r="E37" s="30" t="n">
        <v>23</v>
      </c>
      <c r="F37" s="30" t="s">
        <v>67</v>
      </c>
      <c r="G37" s="30"/>
      <c r="H37" s="30" t="s">
        <v>102</v>
      </c>
      <c r="I37" s="30" t="s">
        <v>56</v>
      </c>
      <c r="J37" s="30"/>
      <c r="K37" s="30" t="s">
        <v>64</v>
      </c>
      <c r="L37" s="30" t="s">
        <v>103</v>
      </c>
      <c r="M37" s="30" t="n">
        <v>1962</v>
      </c>
      <c r="N37" s="30" t="s">
        <v>58</v>
      </c>
      <c r="O37" s="30" t="n">
        <v>3</v>
      </c>
      <c r="P37" s="30" t="n">
        <v>0</v>
      </c>
      <c r="Q37" s="30" t="n">
        <v>3</v>
      </c>
      <c r="R37" s="30" t="n">
        <v>36</v>
      </c>
      <c r="S37" s="30" t="n">
        <v>1544.3</v>
      </c>
      <c r="T37" s="30" t="n">
        <v>1544.3</v>
      </c>
      <c r="U37" s="30" t="n">
        <v>1544.3</v>
      </c>
      <c r="V37" s="30"/>
      <c r="W37" s="30" t="s">
        <v>53</v>
      </c>
      <c r="X37" s="30" t="s">
        <v>53</v>
      </c>
      <c r="Y37" s="30" t="s">
        <v>54</v>
      </c>
      <c r="Z37" s="30" t="s">
        <v>53</v>
      </c>
      <c r="AA37" s="30" t="s">
        <v>53</v>
      </c>
      <c r="AB37" s="30" t="s">
        <v>53</v>
      </c>
      <c r="AC37" s="30" t="s">
        <v>53</v>
      </c>
      <c r="AD37" s="30" t="s">
        <v>53</v>
      </c>
      <c r="AE37" s="30" t="s">
        <v>54</v>
      </c>
      <c r="AF37" s="30" t="n">
        <v>0</v>
      </c>
      <c r="AG37" s="30" t="n">
        <v>0</v>
      </c>
      <c r="AH37" s="30" t="n">
        <v>1</v>
      </c>
      <c r="AI37" s="30" t="n">
        <v>0</v>
      </c>
      <c r="AJ37" s="30" t="n">
        <v>1</v>
      </c>
      <c r="AK37" s="30" t="n">
        <v>0</v>
      </c>
      <c r="AL37" s="26"/>
    </row>
    <row collapsed="false" customFormat="false" customHeight="false" hidden="false" ht="14.5" outlineLevel="0" r="38">
      <c r="A38" s="30" t="n">
        <v>31</v>
      </c>
      <c r="B38" s="30" t="s">
        <v>45</v>
      </c>
      <c r="C38" s="30" t="s">
        <v>46</v>
      </c>
      <c r="D38" s="30" t="s">
        <v>89</v>
      </c>
      <c r="E38" s="30" t="n">
        <v>25</v>
      </c>
      <c r="F38" s="30"/>
      <c r="G38" s="30"/>
      <c r="H38" s="30" t="s">
        <v>104</v>
      </c>
      <c r="I38" s="30" t="s">
        <v>56</v>
      </c>
      <c r="J38" s="30"/>
      <c r="K38" s="30" t="s">
        <v>64</v>
      </c>
      <c r="L38" s="30" t="s">
        <v>103</v>
      </c>
      <c r="M38" s="30" t="n">
        <v>1962</v>
      </c>
      <c r="N38" s="30" t="s">
        <v>58</v>
      </c>
      <c r="O38" s="30" t="n">
        <v>3</v>
      </c>
      <c r="P38" s="30" t="n">
        <v>0</v>
      </c>
      <c r="Q38" s="30" t="n">
        <v>3</v>
      </c>
      <c r="R38" s="30" t="n">
        <v>36</v>
      </c>
      <c r="S38" s="30" t="n">
        <v>1479.3</v>
      </c>
      <c r="T38" s="30" t="n">
        <v>1479.3</v>
      </c>
      <c r="U38" s="30" t="n">
        <v>1479.3</v>
      </c>
      <c r="V38" s="30"/>
      <c r="W38" s="30" t="s">
        <v>53</v>
      </c>
      <c r="X38" s="30" t="s">
        <v>53</v>
      </c>
      <c r="Y38" s="30" t="s">
        <v>54</v>
      </c>
      <c r="Z38" s="30" t="s">
        <v>53</v>
      </c>
      <c r="AA38" s="30" t="s">
        <v>53</v>
      </c>
      <c r="AB38" s="30" t="s">
        <v>53</v>
      </c>
      <c r="AC38" s="30" t="s">
        <v>53</v>
      </c>
      <c r="AD38" s="30" t="s">
        <v>53</v>
      </c>
      <c r="AE38" s="30" t="s">
        <v>54</v>
      </c>
      <c r="AF38" s="30" t="n">
        <v>0</v>
      </c>
      <c r="AG38" s="30" t="n">
        <v>0</v>
      </c>
      <c r="AH38" s="30" t="n">
        <v>1</v>
      </c>
      <c r="AI38" s="30" t="n">
        <v>0</v>
      </c>
      <c r="AJ38" s="30" t="n">
        <v>1</v>
      </c>
      <c r="AK38" s="30" t="n">
        <v>0</v>
      </c>
      <c r="AL38" s="26"/>
    </row>
    <row collapsed="false" customFormat="false" customHeight="false" hidden="false" ht="14.5" outlineLevel="0" r="39">
      <c r="A39" s="30" t="n">
        <v>32</v>
      </c>
      <c r="B39" s="30" t="s">
        <v>45</v>
      </c>
      <c r="C39" s="30" t="s">
        <v>46</v>
      </c>
      <c r="D39" s="30" t="s">
        <v>89</v>
      </c>
      <c r="E39" s="30" t="n">
        <v>27</v>
      </c>
      <c r="F39" s="30"/>
      <c r="G39" s="30"/>
      <c r="H39" s="30" t="s">
        <v>105</v>
      </c>
      <c r="I39" s="30" t="s">
        <v>56</v>
      </c>
      <c r="J39" s="30"/>
      <c r="K39" s="30" t="s">
        <v>64</v>
      </c>
      <c r="L39" s="30" t="s">
        <v>65</v>
      </c>
      <c r="M39" s="30" t="n">
        <v>1968</v>
      </c>
      <c r="N39" s="30" t="s">
        <v>58</v>
      </c>
      <c r="O39" s="30" t="n">
        <v>3</v>
      </c>
      <c r="P39" s="30" t="n">
        <v>0</v>
      </c>
      <c r="Q39" s="30" t="n">
        <v>3</v>
      </c>
      <c r="R39" s="30" t="n">
        <v>80</v>
      </c>
      <c r="S39" s="30" t="n">
        <v>4454.8</v>
      </c>
      <c r="T39" s="30" t="n">
        <v>4454.8</v>
      </c>
      <c r="U39" s="30" t="n">
        <v>3536.9</v>
      </c>
      <c r="V39" s="30" t="n">
        <v>917.9</v>
      </c>
      <c r="W39" s="30" t="s">
        <v>53</v>
      </c>
      <c r="X39" s="30" t="s">
        <v>53</v>
      </c>
      <c r="Y39" s="30" t="s">
        <v>53</v>
      </c>
      <c r="Z39" s="30" t="s">
        <v>53</v>
      </c>
      <c r="AA39" s="30" t="s">
        <v>53</v>
      </c>
      <c r="AB39" s="30" t="s">
        <v>53</v>
      </c>
      <c r="AC39" s="30" t="s">
        <v>54</v>
      </c>
      <c r="AD39" s="30" t="s">
        <v>53</v>
      </c>
      <c r="AE39" s="30" t="s">
        <v>54</v>
      </c>
      <c r="AF39" s="30" t="n">
        <v>0</v>
      </c>
      <c r="AG39" s="30" t="n">
        <v>0</v>
      </c>
      <c r="AH39" s="30" t="n">
        <v>1</v>
      </c>
      <c r="AI39" s="30" t="n">
        <v>0</v>
      </c>
      <c r="AJ39" s="30" t="n">
        <v>1</v>
      </c>
      <c r="AK39" s="30" t="n">
        <v>0</v>
      </c>
      <c r="AL39" s="26"/>
    </row>
    <row collapsed="false" customFormat="false" customHeight="false" hidden="false" ht="14.5" outlineLevel="0" r="40">
      <c r="A40" s="30" t="n">
        <v>33</v>
      </c>
      <c r="B40" s="30" t="s">
        <v>45</v>
      </c>
      <c r="C40" s="30" t="s">
        <v>46</v>
      </c>
      <c r="D40" s="30" t="s">
        <v>89</v>
      </c>
      <c r="E40" s="30" t="n">
        <v>28</v>
      </c>
      <c r="F40" s="30"/>
      <c r="G40" s="30"/>
      <c r="H40" s="30" t="s">
        <v>106</v>
      </c>
      <c r="I40" s="30" t="s">
        <v>56</v>
      </c>
      <c r="J40" s="30"/>
      <c r="K40" s="30" t="s">
        <v>101</v>
      </c>
      <c r="L40" s="30" t="s">
        <v>65</v>
      </c>
      <c r="M40" s="30" t="n">
        <v>1971</v>
      </c>
      <c r="N40" s="30" t="s">
        <v>58</v>
      </c>
      <c r="O40" s="30" t="n">
        <v>5</v>
      </c>
      <c r="P40" s="30" t="n">
        <v>0</v>
      </c>
      <c r="Q40" s="30" t="n">
        <v>5</v>
      </c>
      <c r="R40" s="30" t="n">
        <v>80</v>
      </c>
      <c r="S40" s="30" t="n">
        <v>4742</v>
      </c>
      <c r="T40" s="30" t="n">
        <v>4742</v>
      </c>
      <c r="U40" s="30" t="n">
        <v>3551.6</v>
      </c>
      <c r="V40" s="30" t="n">
        <v>1190.4</v>
      </c>
      <c r="W40" s="30" t="s">
        <v>53</v>
      </c>
      <c r="X40" s="30" t="s">
        <v>53</v>
      </c>
      <c r="Y40" s="30" t="s">
        <v>54</v>
      </c>
      <c r="Z40" s="30" t="s">
        <v>53</v>
      </c>
      <c r="AA40" s="30" t="s">
        <v>53</v>
      </c>
      <c r="AB40" s="30" t="s">
        <v>53</v>
      </c>
      <c r="AC40" s="30" t="s">
        <v>53</v>
      </c>
      <c r="AD40" s="30" t="s">
        <v>53</v>
      </c>
      <c r="AE40" s="30" t="s">
        <v>54</v>
      </c>
      <c r="AF40" s="30" t="n">
        <v>0</v>
      </c>
      <c r="AG40" s="30" t="n">
        <v>0</v>
      </c>
      <c r="AH40" s="30" t="n">
        <v>1</v>
      </c>
      <c r="AI40" s="30" t="n">
        <v>0</v>
      </c>
      <c r="AJ40" s="30" t="n">
        <v>1</v>
      </c>
      <c r="AK40" s="30" t="n">
        <v>0</v>
      </c>
      <c r="AL40" s="26"/>
    </row>
    <row collapsed="false" customFormat="false" customHeight="false" hidden="false" ht="14.5" outlineLevel="0" r="41">
      <c r="A41" s="30" t="n">
        <v>34</v>
      </c>
      <c r="B41" s="30" t="s">
        <v>45</v>
      </c>
      <c r="C41" s="30" t="s">
        <v>46</v>
      </c>
      <c r="D41" s="30" t="s">
        <v>89</v>
      </c>
      <c r="E41" s="30" t="n">
        <v>29</v>
      </c>
      <c r="F41" s="30"/>
      <c r="G41" s="30"/>
      <c r="H41" s="30" t="s">
        <v>107</v>
      </c>
      <c r="I41" s="30" t="s">
        <v>56</v>
      </c>
      <c r="J41" s="30"/>
      <c r="K41" s="30" t="s">
        <v>64</v>
      </c>
      <c r="L41" s="30" t="s">
        <v>57</v>
      </c>
      <c r="M41" s="30" t="n">
        <v>1965</v>
      </c>
      <c r="N41" s="30" t="s">
        <v>108</v>
      </c>
      <c r="O41" s="30" t="n">
        <v>5</v>
      </c>
      <c r="P41" s="30" t="n">
        <v>0</v>
      </c>
      <c r="Q41" s="30" t="n">
        <v>4</v>
      </c>
      <c r="R41" s="30" t="n">
        <v>80</v>
      </c>
      <c r="S41" s="30" t="n">
        <v>3547.1</v>
      </c>
      <c r="T41" s="30" t="n">
        <v>3547.1</v>
      </c>
      <c r="U41" s="30" t="n">
        <v>3547.1</v>
      </c>
      <c r="V41" s="30"/>
      <c r="W41" s="30" t="s">
        <v>53</v>
      </c>
      <c r="X41" s="30" t="s">
        <v>53</v>
      </c>
      <c r="Y41" s="30" t="s">
        <v>53</v>
      </c>
      <c r="Z41" s="30" t="s">
        <v>53</v>
      </c>
      <c r="AA41" s="30" t="s">
        <v>53</v>
      </c>
      <c r="AB41" s="30" t="s">
        <v>53</v>
      </c>
      <c r="AC41" s="30" t="s">
        <v>54</v>
      </c>
      <c r="AD41" s="30" t="s">
        <v>53</v>
      </c>
      <c r="AE41" s="30" t="s">
        <v>54</v>
      </c>
      <c r="AF41" s="30" t="n">
        <v>0</v>
      </c>
      <c r="AG41" s="30" t="n">
        <v>0</v>
      </c>
      <c r="AH41" s="30" t="n">
        <v>1</v>
      </c>
      <c r="AI41" s="30" t="n">
        <v>0</v>
      </c>
      <c r="AJ41" s="30" t="n">
        <v>1</v>
      </c>
      <c r="AK41" s="30" t="n">
        <v>0</v>
      </c>
      <c r="AL41" s="26"/>
    </row>
    <row collapsed="false" customFormat="false" customHeight="false" hidden="false" ht="14.5" outlineLevel="0" r="42">
      <c r="A42" s="30" t="n">
        <v>35</v>
      </c>
      <c r="B42" s="30" t="s">
        <v>45</v>
      </c>
      <c r="C42" s="30" t="s">
        <v>46</v>
      </c>
      <c r="D42" s="30" t="s">
        <v>89</v>
      </c>
      <c r="E42" s="30" t="n">
        <v>30</v>
      </c>
      <c r="F42" s="30"/>
      <c r="G42" s="30"/>
      <c r="H42" s="30" t="s">
        <v>109</v>
      </c>
      <c r="I42" s="30" t="s">
        <v>56</v>
      </c>
      <c r="J42" s="30"/>
      <c r="K42" s="30" t="s">
        <v>101</v>
      </c>
      <c r="L42" s="30" t="s">
        <v>65</v>
      </c>
      <c r="M42" s="30" t="n">
        <v>1975</v>
      </c>
      <c r="N42" s="30" t="s">
        <v>58</v>
      </c>
      <c r="O42" s="30" t="n">
        <v>5</v>
      </c>
      <c r="P42" s="30" t="n">
        <v>0</v>
      </c>
      <c r="Q42" s="30" t="n">
        <v>4</v>
      </c>
      <c r="R42" s="30" t="n">
        <v>56</v>
      </c>
      <c r="S42" s="30" t="n">
        <v>3558.8</v>
      </c>
      <c r="T42" s="30" t="n">
        <v>3558.8</v>
      </c>
      <c r="U42" s="30" t="n">
        <v>2728.6</v>
      </c>
      <c r="V42" s="30" t="n">
        <v>830.2</v>
      </c>
      <c r="W42" s="30" t="s">
        <v>53</v>
      </c>
      <c r="X42" s="30" t="s">
        <v>53</v>
      </c>
      <c r="Y42" s="30" t="s">
        <v>54</v>
      </c>
      <c r="Z42" s="30" t="s">
        <v>53</v>
      </c>
      <c r="AA42" s="30" t="s">
        <v>53</v>
      </c>
      <c r="AB42" s="30" t="s">
        <v>53</v>
      </c>
      <c r="AC42" s="30" t="s">
        <v>53</v>
      </c>
      <c r="AD42" s="30" t="s">
        <v>53</v>
      </c>
      <c r="AE42" s="30" t="s">
        <v>54</v>
      </c>
      <c r="AF42" s="30" t="n">
        <v>0</v>
      </c>
      <c r="AG42" s="30" t="n">
        <v>0</v>
      </c>
      <c r="AH42" s="30" t="n">
        <v>1</v>
      </c>
      <c r="AI42" s="30" t="n">
        <v>0</v>
      </c>
      <c r="AJ42" s="30" t="n">
        <v>1</v>
      </c>
      <c r="AK42" s="30" t="n">
        <v>0</v>
      </c>
      <c r="AL42" s="26"/>
    </row>
    <row collapsed="false" customFormat="false" customHeight="false" hidden="false" ht="14.5" outlineLevel="0" r="43">
      <c r="A43" s="30" t="n">
        <v>36</v>
      </c>
      <c r="B43" s="30" t="s">
        <v>45</v>
      </c>
      <c r="C43" s="30" t="s">
        <v>46</v>
      </c>
      <c r="D43" s="30" t="s">
        <v>89</v>
      </c>
      <c r="E43" s="30" t="n">
        <v>31</v>
      </c>
      <c r="F43" s="30"/>
      <c r="G43" s="30"/>
      <c r="H43" s="30" t="s">
        <v>110</v>
      </c>
      <c r="I43" s="30" t="s">
        <v>56</v>
      </c>
      <c r="J43" s="30"/>
      <c r="K43" s="30" t="s">
        <v>64</v>
      </c>
      <c r="L43" s="30" t="s">
        <v>57</v>
      </c>
      <c r="M43" s="30" t="n">
        <v>1966</v>
      </c>
      <c r="N43" s="30" t="s">
        <v>108</v>
      </c>
      <c r="O43" s="30" t="n">
        <v>5</v>
      </c>
      <c r="P43" s="30" t="n">
        <v>0</v>
      </c>
      <c r="Q43" s="30" t="n">
        <v>4</v>
      </c>
      <c r="R43" s="30" t="n">
        <v>80</v>
      </c>
      <c r="S43" s="30" t="n">
        <v>3530.6</v>
      </c>
      <c r="T43" s="30" t="n">
        <v>3530.6</v>
      </c>
      <c r="U43" s="30" t="n">
        <v>3530.6</v>
      </c>
      <c r="V43" s="30"/>
      <c r="W43" s="30" t="s">
        <v>53</v>
      </c>
      <c r="X43" s="30" t="s">
        <v>53</v>
      </c>
      <c r="Y43" s="30" t="s">
        <v>53</v>
      </c>
      <c r="Z43" s="30" t="s">
        <v>53</v>
      </c>
      <c r="AA43" s="30" t="s">
        <v>53</v>
      </c>
      <c r="AB43" s="30" t="s">
        <v>53</v>
      </c>
      <c r="AC43" s="30" t="s">
        <v>54</v>
      </c>
      <c r="AD43" s="30" t="s">
        <v>53</v>
      </c>
      <c r="AE43" s="30" t="s">
        <v>54</v>
      </c>
      <c r="AF43" s="30" t="n">
        <v>0</v>
      </c>
      <c r="AG43" s="30" t="n">
        <v>0</v>
      </c>
      <c r="AH43" s="30" t="n">
        <v>1</v>
      </c>
      <c r="AI43" s="30" t="n">
        <v>0</v>
      </c>
      <c r="AJ43" s="30" t="n">
        <v>1</v>
      </c>
      <c r="AK43" s="30" t="n">
        <v>0</v>
      </c>
      <c r="AL43" s="26"/>
    </row>
    <row collapsed="false" customFormat="false" customHeight="false" hidden="false" ht="14.5" outlineLevel="0" r="44">
      <c r="A44" s="30" t="n">
        <v>37</v>
      </c>
      <c r="B44" s="30" t="s">
        <v>45</v>
      </c>
      <c r="C44" s="30" t="s">
        <v>46</v>
      </c>
      <c r="D44" s="30" t="s">
        <v>89</v>
      </c>
      <c r="E44" s="30" t="n">
        <v>32</v>
      </c>
      <c r="F44" s="30" t="s">
        <v>67</v>
      </c>
      <c r="G44" s="30"/>
      <c r="H44" s="30" t="s">
        <v>111</v>
      </c>
      <c r="I44" s="30" t="s">
        <v>56</v>
      </c>
      <c r="J44" s="30"/>
      <c r="K44" s="30" t="s">
        <v>64</v>
      </c>
      <c r="L44" s="30" t="s">
        <v>65</v>
      </c>
      <c r="M44" s="30" t="n">
        <v>1968</v>
      </c>
      <c r="N44" s="30" t="s">
        <v>58</v>
      </c>
      <c r="O44" s="30" t="n">
        <v>5</v>
      </c>
      <c r="P44" s="30" t="n">
        <v>0</v>
      </c>
      <c r="Q44" s="30" t="n">
        <v>3</v>
      </c>
      <c r="R44" s="30" t="n">
        <v>60</v>
      </c>
      <c r="S44" s="30" t="n">
        <v>2592.3</v>
      </c>
      <c r="T44" s="30" t="n">
        <v>2592.3</v>
      </c>
      <c r="U44" s="30" t="n">
        <v>2592.3</v>
      </c>
      <c r="V44" s="30"/>
      <c r="W44" s="30" t="s">
        <v>53</v>
      </c>
      <c r="X44" s="30" t="s">
        <v>53</v>
      </c>
      <c r="Y44" s="30" t="s">
        <v>54</v>
      </c>
      <c r="Z44" s="30" t="s">
        <v>53</v>
      </c>
      <c r="AA44" s="30" t="s">
        <v>53</v>
      </c>
      <c r="AB44" s="30" t="s">
        <v>53</v>
      </c>
      <c r="AC44" s="30" t="s">
        <v>53</v>
      </c>
      <c r="AD44" s="30" t="s">
        <v>53</v>
      </c>
      <c r="AE44" s="30" t="s">
        <v>54</v>
      </c>
      <c r="AF44" s="30" t="n">
        <v>0</v>
      </c>
      <c r="AG44" s="30" t="n">
        <v>0</v>
      </c>
      <c r="AH44" s="30" t="n">
        <v>1</v>
      </c>
      <c r="AI44" s="30" t="n">
        <v>0</v>
      </c>
      <c r="AJ44" s="30" t="n">
        <v>1</v>
      </c>
      <c r="AK44" s="30" t="n">
        <v>0</v>
      </c>
      <c r="AL44" s="26"/>
    </row>
    <row collapsed="false" customFormat="false" customHeight="false" hidden="false" ht="14.5" outlineLevel="0" r="45">
      <c r="A45" s="30" t="n">
        <v>38</v>
      </c>
      <c r="B45" s="30" t="s">
        <v>45</v>
      </c>
      <c r="C45" s="30" t="s">
        <v>46</v>
      </c>
      <c r="D45" s="30" t="s">
        <v>89</v>
      </c>
      <c r="E45" s="30" t="n">
        <v>32</v>
      </c>
      <c r="F45" s="30" t="s">
        <v>69</v>
      </c>
      <c r="G45" s="30"/>
      <c r="H45" s="30" t="s">
        <v>112</v>
      </c>
      <c r="I45" s="30" t="s">
        <v>56</v>
      </c>
      <c r="J45" s="30"/>
      <c r="K45" s="30" t="s">
        <v>64</v>
      </c>
      <c r="L45" s="30" t="s">
        <v>65</v>
      </c>
      <c r="M45" s="30" t="n">
        <v>1967</v>
      </c>
      <c r="N45" s="30" t="s">
        <v>58</v>
      </c>
      <c r="O45" s="30" t="n">
        <v>5</v>
      </c>
      <c r="P45" s="30" t="n">
        <v>0</v>
      </c>
      <c r="Q45" s="30" t="n">
        <v>5</v>
      </c>
      <c r="R45" s="30" t="n">
        <v>80</v>
      </c>
      <c r="S45" s="30" t="n">
        <v>4711.4</v>
      </c>
      <c r="T45" s="30" t="n">
        <v>4711.4</v>
      </c>
      <c r="U45" s="30" t="n">
        <v>3532.7</v>
      </c>
      <c r="V45" s="30" t="n">
        <v>1178.7</v>
      </c>
      <c r="W45" s="30" t="s">
        <v>53</v>
      </c>
      <c r="X45" s="30" t="s">
        <v>53</v>
      </c>
      <c r="Y45" s="30" t="s">
        <v>54</v>
      </c>
      <c r="Z45" s="30" t="s">
        <v>53</v>
      </c>
      <c r="AA45" s="30" t="s">
        <v>53</v>
      </c>
      <c r="AB45" s="30" t="s">
        <v>53</v>
      </c>
      <c r="AC45" s="30" t="s">
        <v>53</v>
      </c>
      <c r="AD45" s="30" t="s">
        <v>53</v>
      </c>
      <c r="AE45" s="30" t="s">
        <v>54</v>
      </c>
      <c r="AF45" s="30" t="n">
        <v>0</v>
      </c>
      <c r="AG45" s="30" t="n">
        <v>0</v>
      </c>
      <c r="AH45" s="30" t="n">
        <v>1</v>
      </c>
      <c r="AI45" s="30" t="n">
        <v>0</v>
      </c>
      <c r="AJ45" s="30" t="n">
        <v>1</v>
      </c>
      <c r="AK45" s="30" t="n">
        <v>0</v>
      </c>
      <c r="AL45" s="26"/>
    </row>
    <row collapsed="false" customFormat="false" customHeight="false" hidden="false" ht="14.5" outlineLevel="0" r="46">
      <c r="A46" s="30" t="n">
        <v>39</v>
      </c>
      <c r="B46" s="30" t="s">
        <v>45</v>
      </c>
      <c r="C46" s="30" t="s">
        <v>46</v>
      </c>
      <c r="D46" s="30" t="s">
        <v>89</v>
      </c>
      <c r="E46" s="30" t="n">
        <v>32</v>
      </c>
      <c r="F46" s="30" t="s">
        <v>113</v>
      </c>
      <c r="G46" s="30"/>
      <c r="H46" s="30" t="s">
        <v>114</v>
      </c>
      <c r="I46" s="30" t="s">
        <v>56</v>
      </c>
      <c r="J46" s="30"/>
      <c r="K46" s="30" t="s">
        <v>64</v>
      </c>
      <c r="L46" s="30" t="s">
        <v>65</v>
      </c>
      <c r="M46" s="30" t="n">
        <v>1969</v>
      </c>
      <c r="N46" s="30" t="s">
        <v>58</v>
      </c>
      <c r="O46" s="30" t="n">
        <v>5</v>
      </c>
      <c r="P46" s="30" t="n">
        <v>0</v>
      </c>
      <c r="Q46" s="30" t="n">
        <v>3</v>
      </c>
      <c r="R46" s="30" t="n">
        <v>60</v>
      </c>
      <c r="S46" s="30" t="n">
        <v>2587.9</v>
      </c>
      <c r="T46" s="30" t="n">
        <v>2587.9</v>
      </c>
      <c r="U46" s="30" t="n">
        <v>2587.9</v>
      </c>
      <c r="V46" s="30"/>
      <c r="W46" s="30" t="s">
        <v>53</v>
      </c>
      <c r="X46" s="30" t="s">
        <v>53</v>
      </c>
      <c r="Y46" s="30" t="s">
        <v>54</v>
      </c>
      <c r="Z46" s="30" t="s">
        <v>53</v>
      </c>
      <c r="AA46" s="30" t="s">
        <v>53</v>
      </c>
      <c r="AB46" s="30" t="s">
        <v>53</v>
      </c>
      <c r="AC46" s="30" t="s">
        <v>53</v>
      </c>
      <c r="AD46" s="30" t="s">
        <v>53</v>
      </c>
      <c r="AE46" s="30" t="s">
        <v>54</v>
      </c>
      <c r="AF46" s="30" t="n">
        <v>0</v>
      </c>
      <c r="AG46" s="30" t="n">
        <v>0</v>
      </c>
      <c r="AH46" s="30" t="n">
        <v>1</v>
      </c>
      <c r="AI46" s="30" t="n">
        <v>0</v>
      </c>
      <c r="AJ46" s="30" t="n">
        <v>1</v>
      </c>
      <c r="AK46" s="30" t="n">
        <v>0</v>
      </c>
      <c r="AL46" s="26"/>
    </row>
    <row collapsed="false" customFormat="false" customHeight="false" hidden="false" ht="14.5" outlineLevel="0" r="47">
      <c r="A47" s="30" t="n">
        <v>40</v>
      </c>
      <c r="B47" s="30" t="s">
        <v>45</v>
      </c>
      <c r="C47" s="30" t="s">
        <v>46</v>
      </c>
      <c r="D47" s="30" t="s">
        <v>89</v>
      </c>
      <c r="E47" s="30" t="n">
        <v>33</v>
      </c>
      <c r="F47" s="30"/>
      <c r="G47" s="30"/>
      <c r="H47" s="30" t="s">
        <v>115</v>
      </c>
      <c r="I47" s="30" t="s">
        <v>56</v>
      </c>
      <c r="J47" s="30"/>
      <c r="K47" s="30" t="s">
        <v>64</v>
      </c>
      <c r="L47" s="30" t="s">
        <v>57</v>
      </c>
      <c r="M47" s="30" t="n">
        <v>1968</v>
      </c>
      <c r="N47" s="30" t="s">
        <v>108</v>
      </c>
      <c r="O47" s="30" t="n">
        <v>5</v>
      </c>
      <c r="P47" s="30" t="n">
        <v>0</v>
      </c>
      <c r="Q47" s="30" t="n">
        <v>4</v>
      </c>
      <c r="R47" s="30" t="n">
        <v>80</v>
      </c>
      <c r="S47" s="30" t="n">
        <v>3577.2</v>
      </c>
      <c r="T47" s="30" t="n">
        <v>3577.2</v>
      </c>
      <c r="U47" s="30" t="n">
        <v>3577.2</v>
      </c>
      <c r="V47" s="30"/>
      <c r="W47" s="30" t="s">
        <v>53</v>
      </c>
      <c r="X47" s="30" t="s">
        <v>53</v>
      </c>
      <c r="Y47" s="30" t="s">
        <v>53</v>
      </c>
      <c r="Z47" s="30" t="s">
        <v>53</v>
      </c>
      <c r="AA47" s="30" t="s">
        <v>53</v>
      </c>
      <c r="AB47" s="30" t="s">
        <v>53</v>
      </c>
      <c r="AC47" s="30" t="s">
        <v>54</v>
      </c>
      <c r="AD47" s="30" t="s">
        <v>53</v>
      </c>
      <c r="AE47" s="30" t="s">
        <v>54</v>
      </c>
      <c r="AF47" s="30" t="n">
        <v>0</v>
      </c>
      <c r="AG47" s="30" t="n">
        <v>0</v>
      </c>
      <c r="AH47" s="30" t="n">
        <v>1</v>
      </c>
      <c r="AI47" s="30" t="n">
        <v>0</v>
      </c>
      <c r="AJ47" s="30" t="n">
        <v>1</v>
      </c>
      <c r="AK47" s="30" t="n">
        <v>0</v>
      </c>
      <c r="AL47" s="26"/>
    </row>
    <row collapsed="false" customFormat="false" customHeight="false" hidden="false" ht="14.5" outlineLevel="0" r="48">
      <c r="A48" s="30" t="n">
        <v>41</v>
      </c>
      <c r="B48" s="30" t="s">
        <v>45</v>
      </c>
      <c r="C48" s="30" t="s">
        <v>46</v>
      </c>
      <c r="D48" s="30" t="s">
        <v>89</v>
      </c>
      <c r="E48" s="30" t="n">
        <v>36</v>
      </c>
      <c r="F48" s="30" t="s">
        <v>67</v>
      </c>
      <c r="G48" s="30"/>
      <c r="H48" s="30" t="s">
        <v>116</v>
      </c>
      <c r="I48" s="30" t="s">
        <v>56</v>
      </c>
      <c r="J48" s="30"/>
      <c r="K48" s="30" t="s">
        <v>64</v>
      </c>
      <c r="L48" s="30" t="s">
        <v>65</v>
      </c>
      <c r="M48" s="30" t="n">
        <v>1967</v>
      </c>
      <c r="N48" s="30" t="s">
        <v>58</v>
      </c>
      <c r="O48" s="30" t="n">
        <v>5</v>
      </c>
      <c r="P48" s="30" t="n">
        <v>0</v>
      </c>
      <c r="Q48" s="30" t="n">
        <v>5</v>
      </c>
      <c r="R48" s="30" t="n">
        <v>60</v>
      </c>
      <c r="S48" s="30" t="n">
        <v>2554.3</v>
      </c>
      <c r="T48" s="30" t="n">
        <v>2554.3</v>
      </c>
      <c r="U48" s="30" t="n">
        <v>2554.3</v>
      </c>
      <c r="V48" s="30"/>
      <c r="W48" s="30" t="s">
        <v>53</v>
      </c>
      <c r="X48" s="30" t="s">
        <v>53</v>
      </c>
      <c r="Y48" s="30" t="s">
        <v>54</v>
      </c>
      <c r="Z48" s="30" t="s">
        <v>53</v>
      </c>
      <c r="AA48" s="30" t="s">
        <v>53</v>
      </c>
      <c r="AB48" s="30" t="s">
        <v>53</v>
      </c>
      <c r="AC48" s="30" t="s">
        <v>53</v>
      </c>
      <c r="AD48" s="30" t="s">
        <v>53</v>
      </c>
      <c r="AE48" s="30" t="s">
        <v>54</v>
      </c>
      <c r="AF48" s="30" t="n">
        <v>0</v>
      </c>
      <c r="AG48" s="30" t="n">
        <v>0</v>
      </c>
      <c r="AH48" s="30" t="n">
        <v>1</v>
      </c>
      <c r="AI48" s="30" t="n">
        <v>0</v>
      </c>
      <c r="AJ48" s="30" t="n">
        <v>1</v>
      </c>
      <c r="AK48" s="30" t="n">
        <v>0</v>
      </c>
      <c r="AL48" s="26"/>
    </row>
    <row collapsed="false" customFormat="false" customHeight="false" hidden="false" ht="14.5" outlineLevel="0" r="49">
      <c r="A49" s="30" t="n">
        <v>42</v>
      </c>
      <c r="B49" s="30" t="s">
        <v>45</v>
      </c>
      <c r="C49" s="30" t="s">
        <v>46</v>
      </c>
      <c r="D49" s="30" t="s">
        <v>89</v>
      </c>
      <c r="E49" s="30" t="n">
        <v>36</v>
      </c>
      <c r="F49" s="30" t="s">
        <v>69</v>
      </c>
      <c r="G49" s="30"/>
      <c r="H49" s="30" t="s">
        <v>117</v>
      </c>
      <c r="I49" s="30" t="s">
        <v>56</v>
      </c>
      <c r="J49" s="30"/>
      <c r="K49" s="30" t="s">
        <v>64</v>
      </c>
      <c r="L49" s="30" t="s">
        <v>65</v>
      </c>
      <c r="M49" s="30" t="n">
        <v>1966</v>
      </c>
      <c r="N49" s="30" t="s">
        <v>58</v>
      </c>
      <c r="O49" s="30" t="n">
        <v>5</v>
      </c>
      <c r="P49" s="30" t="n">
        <v>0</v>
      </c>
      <c r="Q49" s="30" t="n">
        <v>5</v>
      </c>
      <c r="R49" s="30" t="n">
        <v>80</v>
      </c>
      <c r="S49" s="30" t="n">
        <v>4977.7</v>
      </c>
      <c r="T49" s="30" t="n">
        <v>4977.7</v>
      </c>
      <c r="U49" s="30" t="n">
        <v>3490.8</v>
      </c>
      <c r="V49" s="30" t="n">
        <v>1486.9</v>
      </c>
      <c r="W49" s="30" t="s">
        <v>53</v>
      </c>
      <c r="X49" s="30" t="s">
        <v>53</v>
      </c>
      <c r="Y49" s="30" t="s">
        <v>54</v>
      </c>
      <c r="Z49" s="30" t="s">
        <v>53</v>
      </c>
      <c r="AA49" s="30" t="s">
        <v>53</v>
      </c>
      <c r="AB49" s="30" t="s">
        <v>53</v>
      </c>
      <c r="AC49" s="30" t="s">
        <v>53</v>
      </c>
      <c r="AD49" s="30" t="s">
        <v>53</v>
      </c>
      <c r="AE49" s="30" t="s">
        <v>54</v>
      </c>
      <c r="AF49" s="30" t="n">
        <v>0</v>
      </c>
      <c r="AG49" s="30" t="n">
        <v>0</v>
      </c>
      <c r="AH49" s="30" t="n">
        <v>1</v>
      </c>
      <c r="AI49" s="30" t="n">
        <v>0</v>
      </c>
      <c r="AJ49" s="30" t="n">
        <v>1</v>
      </c>
      <c r="AK49" s="30" t="n">
        <v>0</v>
      </c>
      <c r="AL49" s="26"/>
    </row>
    <row collapsed="false" customFormat="false" customHeight="false" hidden="false" ht="14.5" outlineLevel="0" r="50">
      <c r="A50" s="30" t="n">
        <v>43</v>
      </c>
      <c r="B50" s="30" t="s">
        <v>45</v>
      </c>
      <c r="C50" s="30" t="s">
        <v>46</v>
      </c>
      <c r="D50" s="30" t="s">
        <v>89</v>
      </c>
      <c r="E50" s="30" t="n">
        <v>36</v>
      </c>
      <c r="F50" s="30" t="s">
        <v>113</v>
      </c>
      <c r="G50" s="30"/>
      <c r="H50" s="30" t="s">
        <v>118</v>
      </c>
      <c r="I50" s="30" t="s">
        <v>56</v>
      </c>
      <c r="J50" s="30"/>
      <c r="K50" s="30" t="s">
        <v>64</v>
      </c>
      <c r="L50" s="30" t="s">
        <v>65</v>
      </c>
      <c r="M50" s="30" t="n">
        <v>1966</v>
      </c>
      <c r="N50" s="30" t="s">
        <v>58</v>
      </c>
      <c r="O50" s="30" t="n">
        <v>5</v>
      </c>
      <c r="P50" s="30" t="n">
        <v>0</v>
      </c>
      <c r="Q50" s="30" t="n">
        <v>3</v>
      </c>
      <c r="R50" s="30" t="n">
        <v>60</v>
      </c>
      <c r="S50" s="30" t="n">
        <v>2521.3</v>
      </c>
      <c r="T50" s="30" t="n">
        <v>2521.3</v>
      </c>
      <c r="U50" s="30" t="n">
        <v>2521.3</v>
      </c>
      <c r="V50" s="30"/>
      <c r="W50" s="30" t="s">
        <v>53</v>
      </c>
      <c r="X50" s="30" t="s">
        <v>53</v>
      </c>
      <c r="Y50" s="30" t="s">
        <v>54</v>
      </c>
      <c r="Z50" s="30" t="s">
        <v>53</v>
      </c>
      <c r="AA50" s="30" t="s">
        <v>53</v>
      </c>
      <c r="AB50" s="30" t="s">
        <v>53</v>
      </c>
      <c r="AC50" s="30" t="s">
        <v>53</v>
      </c>
      <c r="AD50" s="30" t="s">
        <v>53</v>
      </c>
      <c r="AE50" s="30" t="s">
        <v>54</v>
      </c>
      <c r="AF50" s="30" t="n">
        <v>0</v>
      </c>
      <c r="AG50" s="30" t="n">
        <v>0</v>
      </c>
      <c r="AH50" s="30" t="n">
        <v>1</v>
      </c>
      <c r="AI50" s="30" t="n">
        <v>0</v>
      </c>
      <c r="AJ50" s="30" t="n">
        <v>1</v>
      </c>
      <c r="AK50" s="30" t="n">
        <v>0</v>
      </c>
      <c r="AL50" s="26"/>
    </row>
    <row collapsed="false" customFormat="false" customHeight="false" hidden="false" ht="14.5" outlineLevel="0" r="51">
      <c r="A51" s="30" t="n">
        <v>44</v>
      </c>
      <c r="B51" s="30" t="s">
        <v>45</v>
      </c>
      <c r="C51" s="30" t="s">
        <v>46</v>
      </c>
      <c r="D51" s="30" t="s">
        <v>89</v>
      </c>
      <c r="E51" s="30" t="n">
        <v>40</v>
      </c>
      <c r="F51" s="30"/>
      <c r="G51" s="30"/>
      <c r="H51" s="30" t="s">
        <v>119</v>
      </c>
      <c r="I51" s="30" t="s">
        <v>56</v>
      </c>
      <c r="J51" s="30"/>
      <c r="K51" s="30" t="s">
        <v>64</v>
      </c>
      <c r="L51" s="30" t="s">
        <v>65</v>
      </c>
      <c r="M51" s="30" t="n">
        <v>1961</v>
      </c>
      <c r="N51" s="30" t="s">
        <v>58</v>
      </c>
      <c r="O51" s="30" t="n">
        <v>4</v>
      </c>
      <c r="P51" s="30" t="n">
        <v>0</v>
      </c>
      <c r="Q51" s="30" t="n">
        <v>2</v>
      </c>
      <c r="R51" s="30" t="n">
        <v>32</v>
      </c>
      <c r="S51" s="30" t="n">
        <v>1275.5</v>
      </c>
      <c r="T51" s="30" t="n">
        <v>1275.5</v>
      </c>
      <c r="U51" s="30" t="n">
        <v>1275.5</v>
      </c>
      <c r="V51" s="30"/>
      <c r="W51" s="30" t="s">
        <v>53</v>
      </c>
      <c r="X51" s="30" t="s">
        <v>53</v>
      </c>
      <c r="Y51" s="30" t="s">
        <v>54</v>
      </c>
      <c r="Z51" s="30" t="s">
        <v>53</v>
      </c>
      <c r="AA51" s="30" t="s">
        <v>53</v>
      </c>
      <c r="AB51" s="30" t="s">
        <v>53</v>
      </c>
      <c r="AC51" s="30" t="s">
        <v>53</v>
      </c>
      <c r="AD51" s="30" t="s">
        <v>53</v>
      </c>
      <c r="AE51" s="30" t="s">
        <v>54</v>
      </c>
      <c r="AF51" s="30" t="n">
        <v>0</v>
      </c>
      <c r="AG51" s="30" t="n">
        <v>0</v>
      </c>
      <c r="AH51" s="30" t="n">
        <v>1</v>
      </c>
      <c r="AI51" s="30" t="n">
        <v>0</v>
      </c>
      <c r="AJ51" s="30" t="n">
        <v>0</v>
      </c>
      <c r="AK51" s="30" t="n">
        <v>0</v>
      </c>
      <c r="AL51" s="26"/>
    </row>
    <row collapsed="false" customFormat="false" customHeight="false" hidden="false" ht="14.5" outlineLevel="0" r="52">
      <c r="A52" s="30" t="n">
        <v>45</v>
      </c>
      <c r="B52" s="30" t="s">
        <v>45</v>
      </c>
      <c r="C52" s="30" t="s">
        <v>46</v>
      </c>
      <c r="D52" s="30" t="s">
        <v>89</v>
      </c>
      <c r="E52" s="30" t="n">
        <v>42</v>
      </c>
      <c r="F52" s="30"/>
      <c r="G52" s="30"/>
      <c r="H52" s="30" t="s">
        <v>120</v>
      </c>
      <c r="I52" s="30" t="s">
        <v>56</v>
      </c>
      <c r="J52" s="30"/>
      <c r="K52" s="30" t="s">
        <v>64</v>
      </c>
      <c r="L52" s="30" t="s">
        <v>57</v>
      </c>
      <c r="M52" s="30" t="n">
        <v>1959</v>
      </c>
      <c r="N52" s="30" t="s">
        <v>58</v>
      </c>
      <c r="O52" s="30" t="n">
        <v>3</v>
      </c>
      <c r="P52" s="30" t="n">
        <v>0</v>
      </c>
      <c r="Q52" s="30" t="n">
        <v>3</v>
      </c>
      <c r="R52" s="30" t="n">
        <v>18</v>
      </c>
      <c r="S52" s="30" t="n">
        <v>1162.3</v>
      </c>
      <c r="T52" s="30" t="n">
        <v>1162.3</v>
      </c>
      <c r="U52" s="30" t="n">
        <v>1162.3</v>
      </c>
      <c r="V52" s="30"/>
      <c r="W52" s="30" t="s">
        <v>53</v>
      </c>
      <c r="X52" s="30" t="s">
        <v>53</v>
      </c>
      <c r="Y52" s="30" t="s">
        <v>54</v>
      </c>
      <c r="Z52" s="30" t="s">
        <v>53</v>
      </c>
      <c r="AA52" s="30" t="s">
        <v>53</v>
      </c>
      <c r="AB52" s="30" t="s">
        <v>53</v>
      </c>
      <c r="AC52" s="30" t="s">
        <v>53</v>
      </c>
      <c r="AD52" s="30" t="s">
        <v>53</v>
      </c>
      <c r="AE52" s="30" t="s">
        <v>54</v>
      </c>
      <c r="AF52" s="30" t="n">
        <v>0</v>
      </c>
      <c r="AG52" s="30" t="n">
        <v>0</v>
      </c>
      <c r="AH52" s="30" t="n">
        <v>1</v>
      </c>
      <c r="AI52" s="30" t="n">
        <v>0</v>
      </c>
      <c r="AJ52" s="30" t="n">
        <v>0</v>
      </c>
      <c r="AK52" s="30" t="n">
        <v>0</v>
      </c>
      <c r="AL52" s="26"/>
    </row>
    <row collapsed="false" customFormat="false" customHeight="false" hidden="false" ht="14.5" outlineLevel="0" r="53">
      <c r="A53" s="30" t="n">
        <v>46</v>
      </c>
      <c r="B53" s="30" t="s">
        <v>45</v>
      </c>
      <c r="C53" s="30" t="s">
        <v>46</v>
      </c>
      <c r="D53" s="30" t="s">
        <v>89</v>
      </c>
      <c r="E53" s="30" t="n">
        <v>43</v>
      </c>
      <c r="F53" s="30"/>
      <c r="G53" s="30"/>
      <c r="H53" s="30" t="s">
        <v>121</v>
      </c>
      <c r="I53" s="30" t="s">
        <v>56</v>
      </c>
      <c r="J53" s="30"/>
      <c r="K53" s="30" t="s">
        <v>64</v>
      </c>
      <c r="L53" s="30" t="s">
        <v>57</v>
      </c>
      <c r="M53" s="30" t="n">
        <v>1960</v>
      </c>
      <c r="N53" s="30" t="s">
        <v>58</v>
      </c>
      <c r="O53" s="30" t="n">
        <v>3</v>
      </c>
      <c r="P53" s="30" t="n">
        <v>0</v>
      </c>
      <c r="Q53" s="30" t="n">
        <v>2</v>
      </c>
      <c r="R53" s="30" t="n">
        <v>24</v>
      </c>
      <c r="S53" s="30" t="n">
        <v>939.8</v>
      </c>
      <c r="T53" s="30" t="n">
        <v>939.8</v>
      </c>
      <c r="U53" s="30" t="n">
        <v>939.8</v>
      </c>
      <c r="V53" s="30"/>
      <c r="W53" s="30" t="s">
        <v>53</v>
      </c>
      <c r="X53" s="30" t="s">
        <v>53</v>
      </c>
      <c r="Y53" s="30" t="s">
        <v>54</v>
      </c>
      <c r="Z53" s="30" t="s">
        <v>53</v>
      </c>
      <c r="AA53" s="30" t="s">
        <v>53</v>
      </c>
      <c r="AB53" s="30" t="s">
        <v>53</v>
      </c>
      <c r="AC53" s="30" t="s">
        <v>53</v>
      </c>
      <c r="AD53" s="30" t="s">
        <v>53</v>
      </c>
      <c r="AE53" s="30" t="s">
        <v>54</v>
      </c>
      <c r="AF53" s="30" t="n">
        <v>0</v>
      </c>
      <c r="AG53" s="30" t="n">
        <v>0</v>
      </c>
      <c r="AH53" s="30" t="n">
        <v>1</v>
      </c>
      <c r="AI53" s="30" t="n">
        <v>0</v>
      </c>
      <c r="AJ53" s="30" t="n">
        <v>1</v>
      </c>
      <c r="AK53" s="30" t="n">
        <v>0</v>
      </c>
      <c r="AL53" s="26"/>
    </row>
    <row collapsed="false" customFormat="false" customHeight="false" hidden="false" ht="14.5" outlineLevel="0" r="54">
      <c r="A54" s="30" t="n">
        <v>47</v>
      </c>
      <c r="B54" s="30" t="s">
        <v>45</v>
      </c>
      <c r="C54" s="30" t="s">
        <v>46</v>
      </c>
      <c r="D54" s="30" t="s">
        <v>89</v>
      </c>
      <c r="E54" s="30" t="n">
        <v>45</v>
      </c>
      <c r="F54" s="30"/>
      <c r="G54" s="30"/>
      <c r="H54" s="30" t="s">
        <v>122</v>
      </c>
      <c r="I54" s="30" t="s">
        <v>56</v>
      </c>
      <c r="J54" s="30"/>
      <c r="K54" s="30" t="s">
        <v>64</v>
      </c>
      <c r="L54" s="30" t="s">
        <v>57</v>
      </c>
      <c r="M54" s="30" t="n">
        <v>1969</v>
      </c>
      <c r="N54" s="30" t="s">
        <v>108</v>
      </c>
      <c r="O54" s="30" t="n">
        <v>5</v>
      </c>
      <c r="P54" s="30" t="n">
        <v>0</v>
      </c>
      <c r="Q54" s="30" t="n">
        <v>4</v>
      </c>
      <c r="R54" s="30" t="n">
        <v>80</v>
      </c>
      <c r="S54" s="30" t="n">
        <v>3546.1</v>
      </c>
      <c r="T54" s="30" t="n">
        <v>3546.1</v>
      </c>
      <c r="U54" s="30" t="n">
        <v>3546.1</v>
      </c>
      <c r="V54" s="30"/>
      <c r="W54" s="30" t="s">
        <v>53</v>
      </c>
      <c r="X54" s="30" t="s">
        <v>53</v>
      </c>
      <c r="Y54" s="30" t="s">
        <v>53</v>
      </c>
      <c r="Z54" s="30" t="s">
        <v>53</v>
      </c>
      <c r="AA54" s="30" t="s">
        <v>53</v>
      </c>
      <c r="AB54" s="30" t="s">
        <v>53</v>
      </c>
      <c r="AC54" s="30" t="s">
        <v>54</v>
      </c>
      <c r="AD54" s="30" t="s">
        <v>53</v>
      </c>
      <c r="AE54" s="30" t="s">
        <v>54</v>
      </c>
      <c r="AF54" s="30" t="n">
        <v>0</v>
      </c>
      <c r="AG54" s="30" t="n">
        <v>0</v>
      </c>
      <c r="AH54" s="30" t="n">
        <v>1</v>
      </c>
      <c r="AI54" s="30" t="n">
        <v>0</v>
      </c>
      <c r="AJ54" s="30" t="n">
        <v>1</v>
      </c>
      <c r="AK54" s="30" t="n">
        <v>0</v>
      </c>
      <c r="AL54" s="26"/>
    </row>
    <row collapsed="false" customFormat="false" customHeight="false" hidden="false" ht="14.5" outlineLevel="0" r="55">
      <c r="A55" s="30" t="n">
        <v>48</v>
      </c>
      <c r="B55" s="30" t="s">
        <v>45</v>
      </c>
      <c r="C55" s="30" t="s">
        <v>59</v>
      </c>
      <c r="D55" s="30" t="s">
        <v>123</v>
      </c>
      <c r="E55" s="30" t="n">
        <v>1</v>
      </c>
      <c r="F55" s="30"/>
      <c r="G55" s="30"/>
      <c r="H55" s="30" t="s">
        <v>124</v>
      </c>
      <c r="I55" s="30" t="s">
        <v>56</v>
      </c>
      <c r="J55" s="30"/>
      <c r="K55" s="30" t="s">
        <v>64</v>
      </c>
      <c r="L55" s="30" t="s">
        <v>65</v>
      </c>
      <c r="M55" s="30" t="n">
        <v>1965</v>
      </c>
      <c r="N55" s="30" t="s">
        <v>58</v>
      </c>
      <c r="O55" s="30" t="n">
        <v>4</v>
      </c>
      <c r="P55" s="30" t="n">
        <v>0</v>
      </c>
      <c r="Q55" s="30" t="n">
        <v>6</v>
      </c>
      <c r="R55" s="30" t="n">
        <v>96</v>
      </c>
      <c r="S55" s="30" t="n">
        <v>4301</v>
      </c>
      <c r="T55" s="30" t="n">
        <v>4301</v>
      </c>
      <c r="U55" s="30" t="n">
        <v>4301</v>
      </c>
      <c r="V55" s="30"/>
      <c r="W55" s="30" t="s">
        <v>53</v>
      </c>
      <c r="X55" s="30" t="s">
        <v>53</v>
      </c>
      <c r="Y55" s="30" t="s">
        <v>53</v>
      </c>
      <c r="Z55" s="30" t="s">
        <v>53</v>
      </c>
      <c r="AA55" s="30" t="s">
        <v>53</v>
      </c>
      <c r="AB55" s="30" t="s">
        <v>53</v>
      </c>
      <c r="AC55" s="30" t="s">
        <v>53</v>
      </c>
      <c r="AD55" s="30" t="s">
        <v>53</v>
      </c>
      <c r="AE55" s="30" t="s">
        <v>54</v>
      </c>
      <c r="AF55" s="30" t="n">
        <v>0</v>
      </c>
      <c r="AG55" s="30" t="n">
        <v>0</v>
      </c>
      <c r="AH55" s="30" t="n">
        <v>1</v>
      </c>
      <c r="AI55" s="30" t="n">
        <v>0</v>
      </c>
      <c r="AJ55" s="30" t="n">
        <v>1</v>
      </c>
      <c r="AK55" s="30" t="n">
        <v>0</v>
      </c>
      <c r="AL55" s="26"/>
    </row>
    <row collapsed="false" customFormat="false" customHeight="false" hidden="false" ht="14.5" outlineLevel="0" r="56">
      <c r="A56" s="30" t="n">
        <v>49</v>
      </c>
      <c r="B56" s="30" t="s">
        <v>45</v>
      </c>
      <c r="C56" s="30" t="s">
        <v>59</v>
      </c>
      <c r="D56" s="30" t="s">
        <v>123</v>
      </c>
      <c r="E56" s="30" t="n">
        <v>3</v>
      </c>
      <c r="F56" s="30"/>
      <c r="G56" s="30"/>
      <c r="H56" s="30" t="s">
        <v>125</v>
      </c>
      <c r="I56" s="30" t="s">
        <v>56</v>
      </c>
      <c r="J56" s="30"/>
      <c r="K56" s="30" t="s">
        <v>64</v>
      </c>
      <c r="L56" s="30" t="s">
        <v>65</v>
      </c>
      <c r="M56" s="30" t="n">
        <v>1965</v>
      </c>
      <c r="N56" s="30" t="s">
        <v>58</v>
      </c>
      <c r="O56" s="30" t="n">
        <v>5</v>
      </c>
      <c r="P56" s="30" t="n">
        <v>0</v>
      </c>
      <c r="Q56" s="30" t="n">
        <v>5</v>
      </c>
      <c r="R56" s="30" t="n">
        <v>99</v>
      </c>
      <c r="S56" s="30" t="n">
        <v>4150</v>
      </c>
      <c r="T56" s="30" t="n">
        <v>4150</v>
      </c>
      <c r="U56" s="30" t="n">
        <v>4150</v>
      </c>
      <c r="V56" s="30"/>
      <c r="W56" s="30" t="s">
        <v>53</v>
      </c>
      <c r="X56" s="30" t="s">
        <v>53</v>
      </c>
      <c r="Y56" s="30" t="s">
        <v>53</v>
      </c>
      <c r="Z56" s="30" t="s">
        <v>53</v>
      </c>
      <c r="AA56" s="30" t="s">
        <v>53</v>
      </c>
      <c r="AB56" s="30" t="s">
        <v>53</v>
      </c>
      <c r="AC56" s="30" t="s">
        <v>53</v>
      </c>
      <c r="AD56" s="30" t="s">
        <v>53</v>
      </c>
      <c r="AE56" s="30" t="s">
        <v>54</v>
      </c>
      <c r="AF56" s="30" t="n">
        <v>0</v>
      </c>
      <c r="AG56" s="30" t="n">
        <v>0</v>
      </c>
      <c r="AH56" s="30" t="n">
        <v>1</v>
      </c>
      <c r="AI56" s="30" t="n">
        <v>0</v>
      </c>
      <c r="AJ56" s="30" t="n">
        <v>1</v>
      </c>
      <c r="AK56" s="30" t="n">
        <v>0</v>
      </c>
      <c r="AL56" s="26"/>
    </row>
    <row collapsed="false" customFormat="false" customHeight="false" hidden="false" ht="14.5" outlineLevel="0" r="57">
      <c r="A57" s="30" t="n">
        <v>50</v>
      </c>
      <c r="B57" s="30" t="s">
        <v>45</v>
      </c>
      <c r="C57" s="30" t="s">
        <v>59</v>
      </c>
      <c r="D57" s="30" t="s">
        <v>123</v>
      </c>
      <c r="E57" s="30" t="n">
        <v>7</v>
      </c>
      <c r="F57" s="30"/>
      <c r="G57" s="30"/>
      <c r="H57" s="30" t="s">
        <v>126</v>
      </c>
      <c r="I57" s="30" t="s">
        <v>56</v>
      </c>
      <c r="J57" s="30"/>
      <c r="K57" s="30" t="s">
        <v>64</v>
      </c>
      <c r="L57" s="30" t="s">
        <v>65</v>
      </c>
      <c r="M57" s="30" t="n">
        <v>1969</v>
      </c>
      <c r="N57" s="30" t="s">
        <v>58</v>
      </c>
      <c r="O57" s="30" t="n">
        <v>5</v>
      </c>
      <c r="P57" s="30" t="n">
        <v>0</v>
      </c>
      <c r="Q57" s="30" t="n">
        <v>4</v>
      </c>
      <c r="R57" s="30" t="n">
        <v>80</v>
      </c>
      <c r="S57" s="30" t="n">
        <v>3485</v>
      </c>
      <c r="T57" s="30" t="n">
        <v>3485</v>
      </c>
      <c r="U57" s="30" t="n">
        <v>3485</v>
      </c>
      <c r="V57" s="30"/>
      <c r="W57" s="30" t="s">
        <v>53</v>
      </c>
      <c r="X57" s="30" t="s">
        <v>53</v>
      </c>
      <c r="Y57" s="30" t="s">
        <v>53</v>
      </c>
      <c r="Z57" s="30" t="s">
        <v>53</v>
      </c>
      <c r="AA57" s="30" t="s">
        <v>53</v>
      </c>
      <c r="AB57" s="30" t="s">
        <v>53</v>
      </c>
      <c r="AC57" s="30" t="s">
        <v>53</v>
      </c>
      <c r="AD57" s="30" t="s">
        <v>53</v>
      </c>
      <c r="AE57" s="30" t="s">
        <v>54</v>
      </c>
      <c r="AF57" s="30" t="n">
        <v>0</v>
      </c>
      <c r="AG57" s="30" t="n">
        <v>0</v>
      </c>
      <c r="AH57" s="30" t="n">
        <v>1</v>
      </c>
      <c r="AI57" s="30" t="n">
        <v>0</v>
      </c>
      <c r="AJ57" s="30" t="n">
        <v>1</v>
      </c>
      <c r="AK57" s="30" t="n">
        <v>0</v>
      </c>
      <c r="AL57" s="26"/>
    </row>
    <row collapsed="false" customFormat="false" customHeight="false" hidden="false" ht="14.5" outlineLevel="0" r="58">
      <c r="A58" s="30" t="n">
        <v>51</v>
      </c>
      <c r="B58" s="30" t="s">
        <v>45</v>
      </c>
      <c r="C58" s="30" t="s">
        <v>59</v>
      </c>
      <c r="D58" s="30" t="s">
        <v>123</v>
      </c>
      <c r="E58" s="30" t="n">
        <v>9</v>
      </c>
      <c r="F58" s="30"/>
      <c r="G58" s="30"/>
      <c r="H58" s="30" t="s">
        <v>127</v>
      </c>
      <c r="I58" s="30" t="s">
        <v>56</v>
      </c>
      <c r="J58" s="30"/>
      <c r="K58" s="30" t="s">
        <v>64</v>
      </c>
      <c r="L58" s="30" t="s">
        <v>65</v>
      </c>
      <c r="M58" s="30" t="n">
        <v>1967</v>
      </c>
      <c r="N58" s="30" t="s">
        <v>58</v>
      </c>
      <c r="O58" s="30" t="n">
        <v>9</v>
      </c>
      <c r="P58" s="30" t="n">
        <v>0</v>
      </c>
      <c r="Q58" s="30" t="n">
        <v>1</v>
      </c>
      <c r="R58" s="30" t="n">
        <v>45</v>
      </c>
      <c r="S58" s="30" t="n">
        <v>2103.4</v>
      </c>
      <c r="T58" s="30" t="n">
        <v>2103.4</v>
      </c>
      <c r="U58" s="30" t="n">
        <v>1997</v>
      </c>
      <c r="V58" s="30" t="n">
        <v>106.4</v>
      </c>
      <c r="W58" s="30" t="s">
        <v>53</v>
      </c>
      <c r="X58" s="30" t="s">
        <v>53</v>
      </c>
      <c r="Y58" s="30" t="s">
        <v>53</v>
      </c>
      <c r="Z58" s="30" t="s">
        <v>53</v>
      </c>
      <c r="AA58" s="30" t="s">
        <v>53</v>
      </c>
      <c r="AB58" s="30" t="s">
        <v>53</v>
      </c>
      <c r="AC58" s="30" t="s">
        <v>53</v>
      </c>
      <c r="AD58" s="30" t="s">
        <v>53</v>
      </c>
      <c r="AE58" s="30" t="s">
        <v>54</v>
      </c>
      <c r="AF58" s="30" t="n">
        <v>1</v>
      </c>
      <c r="AG58" s="30" t="n">
        <v>0</v>
      </c>
      <c r="AH58" s="30" t="n">
        <v>0</v>
      </c>
      <c r="AI58" s="30" t="n">
        <v>0</v>
      </c>
      <c r="AJ58" s="30" t="n">
        <v>1</v>
      </c>
      <c r="AK58" s="30" t="n">
        <v>0</v>
      </c>
      <c r="AL58" s="26"/>
    </row>
    <row collapsed="false" customFormat="false" customHeight="false" hidden="false" ht="14.5" outlineLevel="0" r="59">
      <c r="A59" s="30" t="n">
        <v>52</v>
      </c>
      <c r="B59" s="30" t="s">
        <v>45</v>
      </c>
      <c r="C59" s="30" t="s">
        <v>59</v>
      </c>
      <c r="D59" s="30" t="s">
        <v>123</v>
      </c>
      <c r="E59" s="30" t="n">
        <v>11</v>
      </c>
      <c r="F59" s="30"/>
      <c r="G59" s="30"/>
      <c r="H59" s="30" t="s">
        <v>128</v>
      </c>
      <c r="I59" s="30" t="s">
        <v>56</v>
      </c>
      <c r="J59" s="30"/>
      <c r="K59" s="30" t="s">
        <v>64</v>
      </c>
      <c r="L59" s="30" t="s">
        <v>65</v>
      </c>
      <c r="M59" s="30" t="n">
        <v>1969</v>
      </c>
      <c r="N59" s="30" t="s">
        <v>58</v>
      </c>
      <c r="O59" s="30" t="n">
        <v>5</v>
      </c>
      <c r="P59" s="30" t="n">
        <v>0</v>
      </c>
      <c r="Q59" s="30" t="n">
        <v>5</v>
      </c>
      <c r="R59" s="30" t="n">
        <v>100</v>
      </c>
      <c r="S59" s="30" t="n">
        <v>4392</v>
      </c>
      <c r="T59" s="30" t="n">
        <v>4392</v>
      </c>
      <c r="U59" s="30" t="n">
        <v>4392</v>
      </c>
      <c r="V59" s="30"/>
      <c r="W59" s="30" t="s">
        <v>53</v>
      </c>
      <c r="X59" s="30" t="s">
        <v>53</v>
      </c>
      <c r="Y59" s="30" t="s">
        <v>53</v>
      </c>
      <c r="Z59" s="30" t="s">
        <v>53</v>
      </c>
      <c r="AA59" s="30" t="s">
        <v>53</v>
      </c>
      <c r="AB59" s="30" t="s">
        <v>53</v>
      </c>
      <c r="AC59" s="30" t="s">
        <v>53</v>
      </c>
      <c r="AD59" s="30" t="s">
        <v>53</v>
      </c>
      <c r="AE59" s="30" t="s">
        <v>54</v>
      </c>
      <c r="AF59" s="30" t="n">
        <v>0</v>
      </c>
      <c r="AG59" s="30" t="n">
        <v>0</v>
      </c>
      <c r="AH59" s="30" t="n">
        <v>1</v>
      </c>
      <c r="AI59" s="30" t="n">
        <v>0</v>
      </c>
      <c r="AJ59" s="30" t="n">
        <v>1</v>
      </c>
      <c r="AK59" s="30" t="n">
        <v>0</v>
      </c>
      <c r="AL59" s="26"/>
    </row>
    <row collapsed="false" customFormat="false" customHeight="false" hidden="false" ht="14.5" outlineLevel="0" r="60">
      <c r="A60" s="30" t="n">
        <v>57</v>
      </c>
      <c r="B60" s="30" t="s">
        <v>45</v>
      </c>
      <c r="C60" s="30" t="s">
        <v>59</v>
      </c>
      <c r="D60" s="30" t="s">
        <v>129</v>
      </c>
      <c r="E60" s="30" t="n">
        <v>59</v>
      </c>
      <c r="F60" s="30"/>
      <c r="G60" s="30"/>
      <c r="H60" s="30" t="s">
        <v>130</v>
      </c>
      <c r="I60" s="30" t="s">
        <v>131</v>
      </c>
      <c r="J60" s="30"/>
      <c r="K60" s="30" t="s">
        <v>51</v>
      </c>
      <c r="L60" s="30" t="s">
        <v>57</v>
      </c>
      <c r="M60" s="30" t="n">
        <v>1993</v>
      </c>
      <c r="N60" s="30" t="s">
        <v>58</v>
      </c>
      <c r="O60" s="30" t="s">
        <v>132</v>
      </c>
      <c r="P60" s="30" t="n">
        <v>0</v>
      </c>
      <c r="Q60" s="30" t="n">
        <v>4</v>
      </c>
      <c r="R60" s="30" t="n">
        <v>87</v>
      </c>
      <c r="S60" s="30" t="n">
        <v>7194.8</v>
      </c>
      <c r="T60" s="30" t="n">
        <v>6342.9</v>
      </c>
      <c r="U60" s="30" t="n">
        <v>4679.3</v>
      </c>
      <c r="V60" s="30" t="n">
        <v>1749.8</v>
      </c>
      <c r="W60" s="30" t="s">
        <v>53</v>
      </c>
      <c r="X60" s="30" t="s">
        <v>53</v>
      </c>
      <c r="Y60" s="30" t="s">
        <v>53</v>
      </c>
      <c r="Z60" s="30" t="s">
        <v>53</v>
      </c>
      <c r="AA60" s="30" t="s">
        <v>53</v>
      </c>
      <c r="AB60" s="30" t="s">
        <v>53</v>
      </c>
      <c r="AC60" s="30" t="s">
        <v>54</v>
      </c>
      <c r="AD60" s="30" t="s">
        <v>53</v>
      </c>
      <c r="AE60" s="30" t="s">
        <v>54</v>
      </c>
      <c r="AF60" s="30" t="n">
        <v>4</v>
      </c>
      <c r="AG60" s="30" t="n">
        <v>0</v>
      </c>
      <c r="AH60" s="30" t="n">
        <v>1</v>
      </c>
      <c r="AI60" s="30" t="n">
        <v>2</v>
      </c>
      <c r="AJ60" s="30" t="n">
        <v>2</v>
      </c>
      <c r="AK60" s="30" t="n">
        <v>0</v>
      </c>
      <c r="AL60" s="26"/>
    </row>
    <row collapsed="false" customFormat="false" customHeight="false" hidden="false" ht="14.5" outlineLevel="0" r="61">
      <c r="A61" s="30" t="n">
        <v>518</v>
      </c>
      <c r="B61" s="30" t="s">
        <v>45</v>
      </c>
      <c r="C61" s="30" t="s">
        <v>59</v>
      </c>
      <c r="D61" s="30" t="s">
        <v>133</v>
      </c>
      <c r="E61" s="30" t="n">
        <v>7</v>
      </c>
      <c r="F61" s="30" t="n">
        <v>3</v>
      </c>
      <c r="G61" s="30"/>
      <c r="H61" s="30" t="s">
        <v>134</v>
      </c>
      <c r="I61" s="30" t="s">
        <v>56</v>
      </c>
      <c r="J61" s="30" t="s">
        <v>86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26"/>
    </row>
    <row collapsed="false" customFormat="false" customHeight="false" hidden="false" ht="14.5" outlineLevel="0" r="62">
      <c r="A62" s="30" t="n">
        <v>53</v>
      </c>
      <c r="B62" s="30" t="s">
        <v>45</v>
      </c>
      <c r="C62" s="30" t="s">
        <v>59</v>
      </c>
      <c r="D62" s="30" t="s">
        <v>129</v>
      </c>
      <c r="E62" s="30" t="n">
        <v>17</v>
      </c>
      <c r="F62" s="30" t="s">
        <v>67</v>
      </c>
      <c r="G62" s="30"/>
      <c r="H62" s="30" t="s">
        <v>135</v>
      </c>
      <c r="I62" s="30" t="s">
        <v>56</v>
      </c>
      <c r="J62" s="30"/>
      <c r="K62" s="30" t="s">
        <v>101</v>
      </c>
      <c r="L62" s="30" t="s">
        <v>57</v>
      </c>
      <c r="M62" s="30" t="n">
        <v>1961</v>
      </c>
      <c r="N62" s="30" t="s">
        <v>58</v>
      </c>
      <c r="O62" s="30" t="n">
        <v>2</v>
      </c>
      <c r="P62" s="30" t="n">
        <v>0</v>
      </c>
      <c r="Q62" s="30" t="n">
        <v>2</v>
      </c>
      <c r="R62" s="30" t="n">
        <v>16</v>
      </c>
      <c r="S62" s="30" t="n">
        <v>639</v>
      </c>
      <c r="T62" s="30" t="n">
        <v>639</v>
      </c>
      <c r="U62" s="30" t="n">
        <v>639</v>
      </c>
      <c r="V62" s="30"/>
      <c r="W62" s="30" t="s">
        <v>53</v>
      </c>
      <c r="X62" s="30" t="s">
        <v>53</v>
      </c>
      <c r="Y62" s="30" t="s">
        <v>53</v>
      </c>
      <c r="Z62" s="30" t="s">
        <v>53</v>
      </c>
      <c r="AA62" s="30" t="s">
        <v>53</v>
      </c>
      <c r="AB62" s="30" t="s">
        <v>53</v>
      </c>
      <c r="AC62" s="30" t="s">
        <v>53</v>
      </c>
      <c r="AD62" s="30" t="s">
        <v>53</v>
      </c>
      <c r="AE62" s="30" t="s">
        <v>54</v>
      </c>
      <c r="AF62" s="30" t="n">
        <v>0</v>
      </c>
      <c r="AG62" s="30" t="n">
        <v>0</v>
      </c>
      <c r="AH62" s="30" t="n">
        <v>0</v>
      </c>
      <c r="AI62" s="30" t="n">
        <v>0</v>
      </c>
      <c r="AJ62" s="30" t="n">
        <v>0</v>
      </c>
      <c r="AK62" s="30" t="n">
        <v>0</v>
      </c>
      <c r="AL62" s="26"/>
    </row>
    <row collapsed="false" customFormat="false" customHeight="false" hidden="false" ht="14.5" outlineLevel="0" r="63">
      <c r="A63" s="30" t="n">
        <v>54</v>
      </c>
      <c r="B63" s="30" t="s">
        <v>45</v>
      </c>
      <c r="C63" s="30" t="s">
        <v>59</v>
      </c>
      <c r="D63" s="30" t="s">
        <v>129</v>
      </c>
      <c r="E63" s="30" t="n">
        <v>17</v>
      </c>
      <c r="F63" s="30" t="s">
        <v>69</v>
      </c>
      <c r="G63" s="30"/>
      <c r="H63" s="30" t="s">
        <v>136</v>
      </c>
      <c r="I63" s="30" t="s">
        <v>56</v>
      </c>
      <c r="J63" s="30"/>
      <c r="K63" s="30" t="s">
        <v>101</v>
      </c>
      <c r="L63" s="30" t="s">
        <v>57</v>
      </c>
      <c r="M63" s="30" t="n">
        <v>1961</v>
      </c>
      <c r="N63" s="30" t="s">
        <v>58</v>
      </c>
      <c r="O63" s="30" t="n">
        <v>2</v>
      </c>
      <c r="P63" s="30" t="n">
        <v>0</v>
      </c>
      <c r="Q63" s="30" t="n">
        <v>2</v>
      </c>
      <c r="R63" s="30" t="n">
        <v>16</v>
      </c>
      <c r="S63" s="30" t="n">
        <v>639</v>
      </c>
      <c r="T63" s="30" t="n">
        <v>639</v>
      </c>
      <c r="U63" s="30" t="n">
        <v>639</v>
      </c>
      <c r="V63" s="30"/>
      <c r="W63" s="30" t="s">
        <v>53</v>
      </c>
      <c r="X63" s="30" t="s">
        <v>53</v>
      </c>
      <c r="Y63" s="30" t="s">
        <v>53</v>
      </c>
      <c r="Z63" s="30" t="s">
        <v>53</v>
      </c>
      <c r="AA63" s="30" t="s">
        <v>53</v>
      </c>
      <c r="AB63" s="30" t="s">
        <v>53</v>
      </c>
      <c r="AC63" s="30" t="s">
        <v>53</v>
      </c>
      <c r="AD63" s="30" t="s">
        <v>53</v>
      </c>
      <c r="AE63" s="30" t="s">
        <v>54</v>
      </c>
      <c r="AF63" s="30" t="n">
        <v>0</v>
      </c>
      <c r="AG63" s="30" t="n">
        <v>0</v>
      </c>
      <c r="AH63" s="30" t="n">
        <v>0</v>
      </c>
      <c r="AI63" s="30" t="n">
        <v>0</v>
      </c>
      <c r="AJ63" s="30" t="n">
        <v>0</v>
      </c>
      <c r="AK63" s="30" t="n">
        <v>0</v>
      </c>
      <c r="AL63" s="26"/>
    </row>
    <row collapsed="false" customFormat="false" customHeight="false" hidden="false" ht="14.5" outlineLevel="0" r="64">
      <c r="A64" s="30" t="n">
        <v>55</v>
      </c>
      <c r="B64" s="30" t="s">
        <v>45</v>
      </c>
      <c r="C64" s="30" t="s">
        <v>59</v>
      </c>
      <c r="D64" s="30" t="s">
        <v>129</v>
      </c>
      <c r="E64" s="30" t="n">
        <v>57</v>
      </c>
      <c r="F64" s="30"/>
      <c r="G64" s="30"/>
      <c r="H64" s="30" t="s">
        <v>137</v>
      </c>
      <c r="I64" s="30" t="s">
        <v>56</v>
      </c>
      <c r="J64" s="30"/>
      <c r="K64" s="30" t="s">
        <v>138</v>
      </c>
      <c r="L64" s="30" t="s">
        <v>51</v>
      </c>
      <c r="M64" s="30" t="n">
        <v>1994</v>
      </c>
      <c r="N64" s="30" t="s">
        <v>108</v>
      </c>
      <c r="O64" s="30" t="s">
        <v>139</v>
      </c>
      <c r="P64" s="30" t="n">
        <v>0</v>
      </c>
      <c r="Q64" s="30" t="n">
        <v>13</v>
      </c>
      <c r="R64" s="30" t="n">
        <v>274</v>
      </c>
      <c r="S64" s="30" t="n">
        <v>16091.9</v>
      </c>
      <c r="T64" s="30" t="n">
        <v>16091.9</v>
      </c>
      <c r="U64" s="30" t="n">
        <v>16055</v>
      </c>
      <c r="V64" s="30"/>
      <c r="W64" s="30" t="s">
        <v>53</v>
      </c>
      <c r="X64" s="30" t="s">
        <v>53</v>
      </c>
      <c r="Y64" s="30" t="s">
        <v>53</v>
      </c>
      <c r="Z64" s="30" t="s">
        <v>53</v>
      </c>
      <c r="AA64" s="30" t="s">
        <v>53</v>
      </c>
      <c r="AB64" s="30" t="s">
        <v>53</v>
      </c>
      <c r="AC64" s="30" t="s">
        <v>54</v>
      </c>
      <c r="AD64" s="30" t="s">
        <v>53</v>
      </c>
      <c r="AE64" s="30" t="s">
        <v>54</v>
      </c>
      <c r="AF64" s="30" t="n">
        <v>9</v>
      </c>
      <c r="AG64" s="30" t="n">
        <v>0</v>
      </c>
      <c r="AH64" s="30" t="n">
        <v>2</v>
      </c>
      <c r="AI64" s="30" t="n">
        <v>1</v>
      </c>
      <c r="AJ64" s="30" t="n">
        <v>6</v>
      </c>
      <c r="AK64" s="30" t="n">
        <v>0</v>
      </c>
      <c r="AL64" s="26"/>
    </row>
    <row collapsed="false" customFormat="false" customHeight="false" hidden="false" ht="14.5" outlineLevel="0" r="65">
      <c r="A65" s="30" t="n">
        <v>56</v>
      </c>
      <c r="B65" s="30" t="s">
        <v>45</v>
      </c>
      <c r="C65" s="30" t="s">
        <v>59</v>
      </c>
      <c r="D65" s="30" t="s">
        <v>129</v>
      </c>
      <c r="E65" s="30" t="n">
        <v>57</v>
      </c>
      <c r="F65" s="30" t="n">
        <v>1</v>
      </c>
      <c r="G65" s="30"/>
      <c r="H65" s="30" t="s">
        <v>140</v>
      </c>
      <c r="I65" s="30" t="s">
        <v>56</v>
      </c>
      <c r="J65" s="30"/>
      <c r="K65" s="30" t="s">
        <v>138</v>
      </c>
      <c r="L65" s="30" t="s">
        <v>51</v>
      </c>
      <c r="M65" s="30" t="n">
        <v>1995</v>
      </c>
      <c r="N65" s="30" t="s">
        <v>108</v>
      </c>
      <c r="O65" s="30" t="s">
        <v>141</v>
      </c>
      <c r="P65" s="30" t="n">
        <v>0</v>
      </c>
      <c r="Q65" s="30" t="n">
        <v>5</v>
      </c>
      <c r="R65" s="30" t="n">
        <v>100</v>
      </c>
      <c r="S65" s="30" t="n">
        <v>5614</v>
      </c>
      <c r="T65" s="30" t="n">
        <v>5614</v>
      </c>
      <c r="U65" s="30" t="n">
        <v>5614</v>
      </c>
      <c r="V65" s="30"/>
      <c r="W65" s="30" t="s">
        <v>53</v>
      </c>
      <c r="X65" s="30" t="s">
        <v>53</v>
      </c>
      <c r="Y65" s="30" t="s">
        <v>53</v>
      </c>
      <c r="Z65" s="30" t="s">
        <v>53</v>
      </c>
      <c r="AA65" s="30" t="s">
        <v>53</v>
      </c>
      <c r="AB65" s="30" t="s">
        <v>54</v>
      </c>
      <c r="AC65" s="30" t="s">
        <v>54</v>
      </c>
      <c r="AD65" s="30" t="s">
        <v>54</v>
      </c>
      <c r="AE65" s="30" t="s">
        <v>53</v>
      </c>
      <c r="AF65" s="30" t="n">
        <v>3</v>
      </c>
      <c r="AG65" s="30" t="n">
        <v>0</v>
      </c>
      <c r="AH65" s="30" t="n">
        <v>2</v>
      </c>
      <c r="AI65" s="30" t="n">
        <v>1</v>
      </c>
      <c r="AJ65" s="30" t="n">
        <v>3</v>
      </c>
      <c r="AK65" s="30" t="n">
        <v>0</v>
      </c>
      <c r="AL65" s="26"/>
    </row>
    <row collapsed="false" customFormat="false" customHeight="false" hidden="false" ht="14.5" outlineLevel="0" r="66">
      <c r="A66" s="30" t="n">
        <v>58</v>
      </c>
      <c r="B66" s="30" t="s">
        <v>45</v>
      </c>
      <c r="C66" s="30" t="s">
        <v>59</v>
      </c>
      <c r="D66" s="30" t="s">
        <v>129</v>
      </c>
      <c r="E66" s="30" t="n">
        <v>61</v>
      </c>
      <c r="F66" s="30"/>
      <c r="G66" s="30"/>
      <c r="H66" s="30" t="s">
        <v>142</v>
      </c>
      <c r="I66" s="30" t="s">
        <v>56</v>
      </c>
      <c r="J66" s="30"/>
      <c r="K66" s="30" t="s">
        <v>138</v>
      </c>
      <c r="L66" s="30" t="s">
        <v>51</v>
      </c>
      <c r="M66" s="30" t="n">
        <v>1999</v>
      </c>
      <c r="N66" s="30" t="s">
        <v>108</v>
      </c>
      <c r="O66" s="30" t="s">
        <v>143</v>
      </c>
      <c r="P66" s="30" t="n">
        <v>0</v>
      </c>
      <c r="Q66" s="30" t="n">
        <v>11</v>
      </c>
      <c r="R66" s="30" t="n">
        <v>209</v>
      </c>
      <c r="S66" s="30" t="n">
        <v>11834.5</v>
      </c>
      <c r="T66" s="30" t="n">
        <v>11834.5</v>
      </c>
      <c r="U66" s="30" t="n">
        <v>11799</v>
      </c>
      <c r="V66" s="30"/>
      <c r="W66" s="30" t="s">
        <v>53</v>
      </c>
      <c r="X66" s="30" t="s">
        <v>53</v>
      </c>
      <c r="Y66" s="30" t="s">
        <v>53</v>
      </c>
      <c r="Z66" s="30" t="s">
        <v>53</v>
      </c>
      <c r="AA66" s="30" t="s">
        <v>53</v>
      </c>
      <c r="AB66" s="30" t="s">
        <v>54</v>
      </c>
      <c r="AC66" s="30" t="s">
        <v>54</v>
      </c>
      <c r="AD66" s="30" t="s">
        <v>54</v>
      </c>
      <c r="AE66" s="30" t="s">
        <v>53</v>
      </c>
      <c r="AF66" s="30" t="n">
        <v>6</v>
      </c>
      <c r="AG66" s="30" t="n">
        <v>0</v>
      </c>
      <c r="AH66" s="30" t="n">
        <v>2</v>
      </c>
      <c r="AI66" s="30" t="n">
        <v>1</v>
      </c>
      <c r="AJ66" s="30" t="n">
        <v>5</v>
      </c>
      <c r="AK66" s="30" t="n">
        <v>0</v>
      </c>
      <c r="AL66" s="26"/>
    </row>
    <row collapsed="false" customFormat="false" customHeight="false" hidden="false" ht="14.5" outlineLevel="0" r="67">
      <c r="A67" s="30" t="n">
        <v>59</v>
      </c>
      <c r="B67" s="30" t="s">
        <v>45</v>
      </c>
      <c r="C67" s="30" t="s">
        <v>46</v>
      </c>
      <c r="D67" s="30" t="s">
        <v>144</v>
      </c>
      <c r="E67" s="30" t="n">
        <v>13</v>
      </c>
      <c r="F67" s="30"/>
      <c r="G67" s="30"/>
      <c r="H67" s="30" t="s">
        <v>145</v>
      </c>
      <c r="I67" s="30" t="s">
        <v>56</v>
      </c>
      <c r="J67" s="30"/>
      <c r="K67" s="30" t="s">
        <v>101</v>
      </c>
      <c r="L67" s="30" t="s">
        <v>57</v>
      </c>
      <c r="M67" s="30" t="n">
        <v>1981</v>
      </c>
      <c r="N67" s="30" t="s">
        <v>58</v>
      </c>
      <c r="O67" s="30" t="n">
        <v>5</v>
      </c>
      <c r="P67" s="30" t="n">
        <v>0</v>
      </c>
      <c r="Q67" s="30" t="n">
        <v>4</v>
      </c>
      <c r="R67" s="30" t="n">
        <v>60</v>
      </c>
      <c r="S67" s="30" t="n">
        <v>2794.4</v>
      </c>
      <c r="T67" s="30" t="n">
        <v>2794.4</v>
      </c>
      <c r="U67" s="30" t="n">
        <v>2794.4</v>
      </c>
      <c r="V67" s="30"/>
      <c r="W67" s="30" t="s">
        <v>53</v>
      </c>
      <c r="X67" s="30" t="s">
        <v>53</v>
      </c>
      <c r="Y67" s="30" t="s">
        <v>53</v>
      </c>
      <c r="Z67" s="30" t="s">
        <v>53</v>
      </c>
      <c r="AA67" s="30" t="s">
        <v>53</v>
      </c>
      <c r="AB67" s="30" t="s">
        <v>53</v>
      </c>
      <c r="AC67" s="30" t="s">
        <v>54</v>
      </c>
      <c r="AD67" s="30" t="s">
        <v>53</v>
      </c>
      <c r="AE67" s="30" t="s">
        <v>54</v>
      </c>
      <c r="AF67" s="30" t="n">
        <v>0</v>
      </c>
      <c r="AG67" s="30" t="n">
        <v>0</v>
      </c>
      <c r="AH67" s="30" t="n">
        <v>1</v>
      </c>
      <c r="AI67" s="30" t="n">
        <v>0</v>
      </c>
      <c r="AJ67" s="30" t="n">
        <v>1</v>
      </c>
      <c r="AK67" s="30" t="n">
        <v>0</v>
      </c>
      <c r="AL67" s="26"/>
    </row>
    <row collapsed="false" customFormat="false" customHeight="false" hidden="false" ht="14.5" outlineLevel="0" r="68">
      <c r="A68" s="30" t="n">
        <v>60</v>
      </c>
      <c r="B68" s="30" t="s">
        <v>45</v>
      </c>
      <c r="C68" s="30" t="s">
        <v>46</v>
      </c>
      <c r="D68" s="30" t="s">
        <v>144</v>
      </c>
      <c r="E68" s="30" t="n">
        <v>15</v>
      </c>
      <c r="F68" s="30"/>
      <c r="G68" s="30"/>
      <c r="H68" s="30" t="s">
        <v>146</v>
      </c>
      <c r="I68" s="30" t="s">
        <v>56</v>
      </c>
      <c r="J68" s="30"/>
      <c r="K68" s="30" t="s">
        <v>101</v>
      </c>
      <c r="L68" s="30" t="s">
        <v>57</v>
      </c>
      <c r="M68" s="30" t="n">
        <v>1979</v>
      </c>
      <c r="N68" s="30" t="s">
        <v>58</v>
      </c>
      <c r="O68" s="30" t="n">
        <v>5</v>
      </c>
      <c r="P68" s="30" t="n">
        <v>0</v>
      </c>
      <c r="Q68" s="30" t="n">
        <v>5</v>
      </c>
      <c r="R68" s="30" t="n">
        <v>88</v>
      </c>
      <c r="S68" s="30" t="n">
        <v>4360.1</v>
      </c>
      <c r="T68" s="30" t="n">
        <v>4360.1</v>
      </c>
      <c r="U68" s="30" t="n">
        <v>4360.1</v>
      </c>
      <c r="V68" s="30"/>
      <c r="W68" s="30" t="s">
        <v>53</v>
      </c>
      <c r="X68" s="30" t="s">
        <v>53</v>
      </c>
      <c r="Y68" s="30" t="s">
        <v>53</v>
      </c>
      <c r="Z68" s="30" t="s">
        <v>53</v>
      </c>
      <c r="AA68" s="30" t="s">
        <v>53</v>
      </c>
      <c r="AB68" s="30" t="s">
        <v>53</v>
      </c>
      <c r="AC68" s="30" t="s">
        <v>54</v>
      </c>
      <c r="AD68" s="30" t="s">
        <v>53</v>
      </c>
      <c r="AE68" s="30" t="s">
        <v>54</v>
      </c>
      <c r="AF68" s="30" t="n">
        <v>1</v>
      </c>
      <c r="AG68" s="30" t="n">
        <v>0</v>
      </c>
      <c r="AH68" s="30" t="n">
        <v>1</v>
      </c>
      <c r="AI68" s="30" t="n">
        <v>0</v>
      </c>
      <c r="AJ68" s="30" t="n">
        <v>1</v>
      </c>
      <c r="AK68" s="30" t="n">
        <v>0</v>
      </c>
      <c r="AL68" s="26"/>
    </row>
    <row collapsed="false" customFormat="false" customHeight="false" hidden="false" ht="14.5" outlineLevel="0" r="69">
      <c r="A69" s="30" t="n">
        <v>61</v>
      </c>
      <c r="B69" s="30" t="s">
        <v>45</v>
      </c>
      <c r="C69" s="30" t="s">
        <v>46</v>
      </c>
      <c r="D69" s="30" t="s">
        <v>144</v>
      </c>
      <c r="E69" s="30" t="n">
        <v>17</v>
      </c>
      <c r="F69" s="30"/>
      <c r="G69" s="30"/>
      <c r="H69" s="30" t="s">
        <v>147</v>
      </c>
      <c r="I69" s="30" t="s">
        <v>56</v>
      </c>
      <c r="J69" s="30"/>
      <c r="K69" s="30" t="s">
        <v>101</v>
      </c>
      <c r="L69" s="30" t="s">
        <v>57</v>
      </c>
      <c r="M69" s="30" t="n">
        <v>1978</v>
      </c>
      <c r="N69" s="30" t="s">
        <v>58</v>
      </c>
      <c r="O69" s="30" t="n">
        <v>5</v>
      </c>
      <c r="P69" s="30" t="n">
        <v>0</v>
      </c>
      <c r="Q69" s="30" t="n">
        <v>4</v>
      </c>
      <c r="R69" s="30" t="n">
        <v>58</v>
      </c>
      <c r="S69" s="30" t="n">
        <v>2764.2</v>
      </c>
      <c r="T69" s="30" t="n">
        <v>2764.2</v>
      </c>
      <c r="U69" s="30" t="n">
        <v>2652</v>
      </c>
      <c r="V69" s="30" t="n">
        <v>112.2</v>
      </c>
      <c r="W69" s="30" t="s">
        <v>53</v>
      </c>
      <c r="X69" s="30" t="s">
        <v>53</v>
      </c>
      <c r="Y69" s="30" t="s">
        <v>53</v>
      </c>
      <c r="Z69" s="30" t="s">
        <v>53</v>
      </c>
      <c r="AA69" s="30" t="s">
        <v>53</v>
      </c>
      <c r="AB69" s="30" t="s">
        <v>53</v>
      </c>
      <c r="AC69" s="30" t="s">
        <v>54</v>
      </c>
      <c r="AD69" s="30" t="s">
        <v>53</v>
      </c>
      <c r="AE69" s="30" t="s">
        <v>54</v>
      </c>
      <c r="AF69" s="30" t="n">
        <v>0</v>
      </c>
      <c r="AG69" s="30" t="n">
        <v>0</v>
      </c>
      <c r="AH69" s="30" t="n">
        <v>1</v>
      </c>
      <c r="AI69" s="30" t="n">
        <v>0</v>
      </c>
      <c r="AJ69" s="30" t="n">
        <v>1</v>
      </c>
      <c r="AK69" s="30" t="n">
        <v>0</v>
      </c>
      <c r="AL69" s="26"/>
    </row>
    <row collapsed="false" customFormat="false" customHeight="false" hidden="false" ht="14.5" outlineLevel="0" r="70">
      <c r="A70" s="30" t="n">
        <v>62</v>
      </c>
      <c r="B70" s="30" t="s">
        <v>45</v>
      </c>
      <c r="C70" s="30" t="s">
        <v>59</v>
      </c>
      <c r="D70" s="30" t="s">
        <v>148</v>
      </c>
      <c r="E70" s="30" t="n">
        <v>8</v>
      </c>
      <c r="F70" s="30"/>
      <c r="G70" s="30"/>
      <c r="H70" s="30" t="s">
        <v>149</v>
      </c>
      <c r="I70" s="30" t="s">
        <v>56</v>
      </c>
      <c r="J70" s="30"/>
      <c r="K70" s="30" t="s">
        <v>101</v>
      </c>
      <c r="L70" s="30" t="s">
        <v>51</v>
      </c>
      <c r="M70" s="30" t="n">
        <v>1980</v>
      </c>
      <c r="N70" s="30" t="s">
        <v>58</v>
      </c>
      <c r="O70" s="30" t="n">
        <v>7</v>
      </c>
      <c r="P70" s="30" t="n">
        <v>0</v>
      </c>
      <c r="Q70" s="30" t="n">
        <v>1</v>
      </c>
      <c r="R70" s="30" t="n">
        <v>20</v>
      </c>
      <c r="S70" s="30" t="n">
        <v>1693</v>
      </c>
      <c r="T70" s="30" t="n">
        <v>1693</v>
      </c>
      <c r="U70" s="30" t="n">
        <v>1693</v>
      </c>
      <c r="V70" s="30"/>
      <c r="W70" s="30" t="s">
        <v>53</v>
      </c>
      <c r="X70" s="30" t="s">
        <v>53</v>
      </c>
      <c r="Y70" s="30" t="s">
        <v>53</v>
      </c>
      <c r="Z70" s="30" t="s">
        <v>53</v>
      </c>
      <c r="AA70" s="30" t="s">
        <v>53</v>
      </c>
      <c r="AB70" s="30" t="s">
        <v>53</v>
      </c>
      <c r="AC70" s="30" t="s">
        <v>53</v>
      </c>
      <c r="AD70" s="30" t="s">
        <v>53</v>
      </c>
      <c r="AE70" s="30" t="s">
        <v>54</v>
      </c>
      <c r="AF70" s="30" t="n">
        <v>1</v>
      </c>
      <c r="AG70" s="30" t="n">
        <v>0</v>
      </c>
      <c r="AH70" s="30" t="n">
        <v>0</v>
      </c>
      <c r="AI70" s="30" t="n">
        <v>0</v>
      </c>
      <c r="AJ70" s="30" t="n">
        <v>0</v>
      </c>
      <c r="AK70" s="30" t="n">
        <v>0</v>
      </c>
      <c r="AL70" s="26"/>
    </row>
    <row collapsed="false" customFormat="false" customHeight="false" hidden="false" ht="14.5" outlineLevel="0" r="71">
      <c r="A71" s="30" t="n">
        <v>63</v>
      </c>
      <c r="B71" s="30" t="s">
        <v>45</v>
      </c>
      <c r="C71" s="30" t="s">
        <v>59</v>
      </c>
      <c r="D71" s="30" t="s">
        <v>148</v>
      </c>
      <c r="E71" s="30" t="n">
        <v>10</v>
      </c>
      <c r="F71" s="30"/>
      <c r="G71" s="30"/>
      <c r="H71" s="30" t="s">
        <v>150</v>
      </c>
      <c r="I71" s="30" t="s">
        <v>56</v>
      </c>
      <c r="J71" s="30"/>
      <c r="K71" s="30" t="s">
        <v>101</v>
      </c>
      <c r="L71" s="30" t="s">
        <v>65</v>
      </c>
      <c r="M71" s="30" t="n">
        <v>1977</v>
      </c>
      <c r="N71" s="30" t="s">
        <v>58</v>
      </c>
      <c r="O71" s="30" t="n">
        <v>4</v>
      </c>
      <c r="P71" s="30" t="n">
        <v>0</v>
      </c>
      <c r="Q71" s="30" t="n">
        <v>5</v>
      </c>
      <c r="R71" s="30" t="n">
        <v>68</v>
      </c>
      <c r="S71" s="30" t="n">
        <v>3187</v>
      </c>
      <c r="T71" s="30" t="n">
        <v>3187</v>
      </c>
      <c r="U71" s="30" t="n">
        <v>3187</v>
      </c>
      <c r="V71" s="30"/>
      <c r="W71" s="30" t="s">
        <v>53</v>
      </c>
      <c r="X71" s="30" t="s">
        <v>53</v>
      </c>
      <c r="Y71" s="30" t="s">
        <v>53</v>
      </c>
      <c r="Z71" s="30" t="s">
        <v>53</v>
      </c>
      <c r="AA71" s="30" t="s">
        <v>53</v>
      </c>
      <c r="AB71" s="30" t="s">
        <v>53</v>
      </c>
      <c r="AC71" s="30" t="s">
        <v>53</v>
      </c>
      <c r="AD71" s="30" t="s">
        <v>53</v>
      </c>
      <c r="AE71" s="30" t="s">
        <v>54</v>
      </c>
      <c r="AF71" s="30" t="n">
        <v>0</v>
      </c>
      <c r="AG71" s="30" t="n">
        <v>0</v>
      </c>
      <c r="AH71" s="30" t="n">
        <v>1</v>
      </c>
      <c r="AI71" s="30" t="n">
        <v>0</v>
      </c>
      <c r="AJ71" s="30" t="n">
        <v>0</v>
      </c>
      <c r="AK71" s="30" t="n">
        <v>0</v>
      </c>
      <c r="AL71" s="26"/>
    </row>
    <row collapsed="false" customFormat="false" customHeight="false" hidden="false" ht="14.5" outlineLevel="0" r="72">
      <c r="A72" s="30" t="n">
        <v>64</v>
      </c>
      <c r="B72" s="30" t="s">
        <v>45</v>
      </c>
      <c r="C72" s="30" t="s">
        <v>59</v>
      </c>
      <c r="D72" s="30" t="s">
        <v>151</v>
      </c>
      <c r="E72" s="30" t="n">
        <v>3</v>
      </c>
      <c r="F72" s="30" t="n">
        <v>2</v>
      </c>
      <c r="G72" s="30"/>
      <c r="H72" s="30" t="s">
        <v>152</v>
      </c>
      <c r="I72" s="30" t="s">
        <v>56</v>
      </c>
      <c r="J72" s="30"/>
      <c r="K72" s="30" t="s">
        <v>101</v>
      </c>
      <c r="L72" s="30" t="s">
        <v>65</v>
      </c>
      <c r="M72" s="30" t="n">
        <v>1984</v>
      </c>
      <c r="N72" s="30" t="s">
        <v>58</v>
      </c>
      <c r="O72" s="30" t="n">
        <v>14</v>
      </c>
      <c r="P72" s="30" t="n">
        <v>0</v>
      </c>
      <c r="Q72" s="30" t="n">
        <v>1</v>
      </c>
      <c r="R72" s="30" t="n">
        <v>56</v>
      </c>
      <c r="S72" s="30" t="n">
        <v>3872</v>
      </c>
      <c r="T72" s="30" t="n">
        <v>3872</v>
      </c>
      <c r="U72" s="30" t="n">
        <v>2937</v>
      </c>
      <c r="V72" s="30" t="n">
        <v>935</v>
      </c>
      <c r="W72" s="30" t="s">
        <v>53</v>
      </c>
      <c r="X72" s="30" t="s">
        <v>53</v>
      </c>
      <c r="Y72" s="30" t="s">
        <v>53</v>
      </c>
      <c r="Z72" s="30" t="s">
        <v>53</v>
      </c>
      <c r="AA72" s="30" t="s">
        <v>53</v>
      </c>
      <c r="AB72" s="30" t="s">
        <v>54</v>
      </c>
      <c r="AC72" s="30" t="s">
        <v>54</v>
      </c>
      <c r="AD72" s="30" t="s">
        <v>54</v>
      </c>
      <c r="AE72" s="30" t="s">
        <v>53</v>
      </c>
      <c r="AF72" s="30" t="n">
        <v>2</v>
      </c>
      <c r="AG72" s="30" t="n">
        <v>0</v>
      </c>
      <c r="AH72" s="30" t="n">
        <v>0</v>
      </c>
      <c r="AI72" s="30" t="n">
        <v>0</v>
      </c>
      <c r="AJ72" s="30" t="n">
        <v>1</v>
      </c>
      <c r="AK72" s="30" t="n">
        <v>0</v>
      </c>
      <c r="AL72" s="26"/>
    </row>
    <row collapsed="false" customFormat="false" customHeight="false" hidden="false" ht="14.5" outlineLevel="0" r="73">
      <c r="A73" s="30" t="n">
        <v>65</v>
      </c>
      <c r="B73" s="30" t="s">
        <v>45</v>
      </c>
      <c r="C73" s="30" t="s">
        <v>59</v>
      </c>
      <c r="D73" s="30" t="s">
        <v>151</v>
      </c>
      <c r="E73" s="30" t="n">
        <v>3</v>
      </c>
      <c r="F73" s="30" t="n">
        <v>3</v>
      </c>
      <c r="G73" s="30"/>
      <c r="H73" s="30" t="s">
        <v>153</v>
      </c>
      <c r="I73" s="30" t="s">
        <v>56</v>
      </c>
      <c r="J73" s="30"/>
      <c r="K73" s="30" t="s">
        <v>101</v>
      </c>
      <c r="L73" s="30" t="s">
        <v>65</v>
      </c>
      <c r="M73" s="30" t="n">
        <v>1984</v>
      </c>
      <c r="N73" s="30" t="s">
        <v>58</v>
      </c>
      <c r="O73" s="30" t="n">
        <v>14</v>
      </c>
      <c r="P73" s="30" t="n">
        <v>0</v>
      </c>
      <c r="Q73" s="30" t="n">
        <v>1</v>
      </c>
      <c r="R73" s="30" t="n">
        <v>56</v>
      </c>
      <c r="S73" s="30" t="n">
        <v>3585</v>
      </c>
      <c r="T73" s="30" t="n">
        <v>3585</v>
      </c>
      <c r="U73" s="30" t="n">
        <v>2922</v>
      </c>
      <c r="V73" s="30" t="n">
        <v>663</v>
      </c>
      <c r="W73" s="30" t="s">
        <v>53</v>
      </c>
      <c r="X73" s="30" t="s">
        <v>53</v>
      </c>
      <c r="Y73" s="30" t="s">
        <v>53</v>
      </c>
      <c r="Z73" s="30" t="s">
        <v>53</v>
      </c>
      <c r="AA73" s="30" t="s">
        <v>53</v>
      </c>
      <c r="AB73" s="30" t="s">
        <v>54</v>
      </c>
      <c r="AC73" s="30" t="s">
        <v>54</v>
      </c>
      <c r="AD73" s="30" t="s">
        <v>54</v>
      </c>
      <c r="AE73" s="30" t="s">
        <v>53</v>
      </c>
      <c r="AF73" s="30" t="n">
        <v>2</v>
      </c>
      <c r="AG73" s="30" t="n">
        <v>0</v>
      </c>
      <c r="AH73" s="30" t="n">
        <v>0</v>
      </c>
      <c r="AI73" s="30" t="n">
        <v>0</v>
      </c>
      <c r="AJ73" s="30" t="n">
        <v>0</v>
      </c>
      <c r="AK73" s="30" t="n">
        <v>0</v>
      </c>
      <c r="AL73" s="26"/>
    </row>
    <row collapsed="false" customFormat="false" customHeight="false" hidden="false" ht="14.5" outlineLevel="0" r="74">
      <c r="A74" s="30" t="n">
        <v>66</v>
      </c>
      <c r="B74" s="30" t="s">
        <v>45</v>
      </c>
      <c r="C74" s="30" t="s">
        <v>59</v>
      </c>
      <c r="D74" s="30" t="s">
        <v>151</v>
      </c>
      <c r="E74" s="30" t="n">
        <v>3</v>
      </c>
      <c r="F74" s="30" t="n">
        <v>4</v>
      </c>
      <c r="G74" s="30"/>
      <c r="H74" s="30" t="s">
        <v>154</v>
      </c>
      <c r="I74" s="30" t="s">
        <v>56</v>
      </c>
      <c r="J74" s="30"/>
      <c r="K74" s="30" t="s">
        <v>101</v>
      </c>
      <c r="L74" s="30" t="s">
        <v>65</v>
      </c>
      <c r="M74" s="30" t="n">
        <v>1984</v>
      </c>
      <c r="N74" s="30" t="s">
        <v>58</v>
      </c>
      <c r="O74" s="30" t="n">
        <v>14</v>
      </c>
      <c r="P74" s="30" t="n">
        <v>0</v>
      </c>
      <c r="Q74" s="30" t="n">
        <v>1</v>
      </c>
      <c r="R74" s="30" t="n">
        <v>46</v>
      </c>
      <c r="S74" s="30" t="n">
        <v>3411.2</v>
      </c>
      <c r="T74" s="30" t="n">
        <v>3411.2</v>
      </c>
      <c r="U74" s="30" t="n">
        <v>2917</v>
      </c>
      <c r="V74" s="30" t="n">
        <v>494.2</v>
      </c>
      <c r="W74" s="30" t="s">
        <v>53</v>
      </c>
      <c r="X74" s="30" t="s">
        <v>53</v>
      </c>
      <c r="Y74" s="30" t="s">
        <v>53</v>
      </c>
      <c r="Z74" s="30" t="s">
        <v>53</v>
      </c>
      <c r="AA74" s="30" t="s">
        <v>53</v>
      </c>
      <c r="AB74" s="30" t="s">
        <v>54</v>
      </c>
      <c r="AC74" s="30" t="s">
        <v>54</v>
      </c>
      <c r="AD74" s="30" t="s">
        <v>54</v>
      </c>
      <c r="AE74" s="30" t="s">
        <v>53</v>
      </c>
      <c r="AF74" s="30" t="n">
        <v>2</v>
      </c>
      <c r="AG74" s="30" t="n">
        <v>0</v>
      </c>
      <c r="AH74" s="30" t="n">
        <v>1</v>
      </c>
      <c r="AI74" s="30" t="n">
        <v>0</v>
      </c>
      <c r="AJ74" s="30" t="n">
        <v>0</v>
      </c>
      <c r="AK74" s="30" t="n">
        <v>0</v>
      </c>
      <c r="AL74" s="26"/>
    </row>
    <row collapsed="false" customFormat="false" customHeight="false" hidden="false" ht="14.5" outlineLevel="0" r="75">
      <c r="A75" s="30" t="n">
        <v>67</v>
      </c>
      <c r="B75" s="30" t="s">
        <v>45</v>
      </c>
      <c r="C75" s="30" t="s">
        <v>59</v>
      </c>
      <c r="D75" s="30" t="s">
        <v>151</v>
      </c>
      <c r="E75" s="30" t="n">
        <v>3</v>
      </c>
      <c r="F75" s="30" t="n">
        <v>5</v>
      </c>
      <c r="G75" s="30"/>
      <c r="H75" s="30" t="s">
        <v>155</v>
      </c>
      <c r="I75" s="30" t="s">
        <v>56</v>
      </c>
      <c r="J75" s="30"/>
      <c r="K75" s="30" t="s">
        <v>101</v>
      </c>
      <c r="L75" s="30" t="s">
        <v>65</v>
      </c>
      <c r="M75" s="30" t="n">
        <v>1984</v>
      </c>
      <c r="N75" s="30" t="s">
        <v>58</v>
      </c>
      <c r="O75" s="30" t="n">
        <v>14</v>
      </c>
      <c r="P75" s="30" t="n">
        <v>0</v>
      </c>
      <c r="Q75" s="30" t="n">
        <v>1</v>
      </c>
      <c r="R75" s="30" t="n">
        <v>56</v>
      </c>
      <c r="S75" s="30" t="n">
        <v>2924</v>
      </c>
      <c r="T75" s="30" t="n">
        <v>2924</v>
      </c>
      <c r="U75" s="30" t="n">
        <v>2924</v>
      </c>
      <c r="V75" s="30"/>
      <c r="W75" s="30" t="s">
        <v>53</v>
      </c>
      <c r="X75" s="30" t="s">
        <v>53</v>
      </c>
      <c r="Y75" s="30" t="s">
        <v>53</v>
      </c>
      <c r="Z75" s="30" t="s">
        <v>53</v>
      </c>
      <c r="AA75" s="30" t="s">
        <v>53</v>
      </c>
      <c r="AB75" s="30" t="s">
        <v>54</v>
      </c>
      <c r="AC75" s="30" t="s">
        <v>54</v>
      </c>
      <c r="AD75" s="30" t="s">
        <v>54</v>
      </c>
      <c r="AE75" s="30" t="s">
        <v>53</v>
      </c>
      <c r="AF75" s="30" t="n">
        <v>2</v>
      </c>
      <c r="AG75" s="30" t="n">
        <v>0</v>
      </c>
      <c r="AH75" s="30" t="n">
        <v>0</v>
      </c>
      <c r="AI75" s="30" t="n">
        <v>0</v>
      </c>
      <c r="AJ75" s="30" t="n">
        <v>0</v>
      </c>
      <c r="AK75" s="30" t="n">
        <v>0</v>
      </c>
      <c r="AL75" s="26"/>
    </row>
    <row collapsed="false" customFormat="false" customHeight="false" hidden="false" ht="14.5" outlineLevel="0" r="76">
      <c r="A76" s="30" t="n">
        <v>68</v>
      </c>
      <c r="B76" s="30" t="s">
        <v>45</v>
      </c>
      <c r="C76" s="30" t="s">
        <v>59</v>
      </c>
      <c r="D76" s="30" t="s">
        <v>151</v>
      </c>
      <c r="E76" s="30" t="n">
        <v>5</v>
      </c>
      <c r="F76" s="30" t="n">
        <v>1</v>
      </c>
      <c r="G76" s="30"/>
      <c r="H76" s="30" t="s">
        <v>156</v>
      </c>
      <c r="I76" s="30" t="s">
        <v>56</v>
      </c>
      <c r="J76" s="30"/>
      <c r="K76" s="30" t="s">
        <v>101</v>
      </c>
      <c r="L76" s="30" t="s">
        <v>65</v>
      </c>
      <c r="M76" s="30" t="n">
        <v>1980</v>
      </c>
      <c r="N76" s="30" t="s">
        <v>58</v>
      </c>
      <c r="O76" s="30" t="n">
        <v>5</v>
      </c>
      <c r="P76" s="30" t="n">
        <v>0</v>
      </c>
      <c r="Q76" s="30" t="n">
        <v>3</v>
      </c>
      <c r="R76" s="30" t="n">
        <v>58</v>
      </c>
      <c r="S76" s="30" t="n">
        <v>2873</v>
      </c>
      <c r="T76" s="30" t="n">
        <v>2873</v>
      </c>
      <c r="U76" s="30" t="n">
        <v>2873</v>
      </c>
      <c r="V76" s="30"/>
      <c r="W76" s="30" t="s">
        <v>53</v>
      </c>
      <c r="X76" s="30" t="s">
        <v>53</v>
      </c>
      <c r="Y76" s="30" t="s">
        <v>53</v>
      </c>
      <c r="Z76" s="30" t="s">
        <v>53</v>
      </c>
      <c r="AA76" s="30" t="s">
        <v>53</v>
      </c>
      <c r="AB76" s="30" t="s">
        <v>53</v>
      </c>
      <c r="AC76" s="30" t="s">
        <v>54</v>
      </c>
      <c r="AD76" s="30" t="s">
        <v>53</v>
      </c>
      <c r="AE76" s="30" t="s">
        <v>54</v>
      </c>
      <c r="AF76" s="30" t="n">
        <v>0</v>
      </c>
      <c r="AG76" s="30" t="n">
        <v>0</v>
      </c>
      <c r="AH76" s="30" t="n">
        <v>1</v>
      </c>
      <c r="AI76" s="30" t="n">
        <v>0</v>
      </c>
      <c r="AJ76" s="30" t="n">
        <v>1</v>
      </c>
      <c r="AK76" s="30" t="n">
        <v>0</v>
      </c>
      <c r="AL76" s="26"/>
    </row>
    <row collapsed="false" customFormat="false" customHeight="false" hidden="false" ht="14.5" outlineLevel="0" r="77">
      <c r="A77" s="30" t="n">
        <v>69</v>
      </c>
      <c r="B77" s="30" t="s">
        <v>45</v>
      </c>
      <c r="C77" s="30" t="s">
        <v>59</v>
      </c>
      <c r="D77" s="30" t="s">
        <v>151</v>
      </c>
      <c r="E77" s="30" t="n">
        <v>5</v>
      </c>
      <c r="F77" s="30" t="n">
        <v>2</v>
      </c>
      <c r="G77" s="30"/>
      <c r="H77" s="30" t="s">
        <v>157</v>
      </c>
      <c r="I77" s="30" t="s">
        <v>56</v>
      </c>
      <c r="J77" s="30"/>
      <c r="K77" s="30" t="s">
        <v>101</v>
      </c>
      <c r="L77" s="30" t="s">
        <v>65</v>
      </c>
      <c r="M77" s="30" t="n">
        <v>1980</v>
      </c>
      <c r="N77" s="30" t="s">
        <v>58</v>
      </c>
      <c r="O77" s="30" t="n">
        <v>5</v>
      </c>
      <c r="P77" s="30" t="n">
        <v>0</v>
      </c>
      <c r="Q77" s="30" t="n">
        <v>2</v>
      </c>
      <c r="R77" s="30" t="n">
        <v>38</v>
      </c>
      <c r="S77" s="30" t="n">
        <v>1849</v>
      </c>
      <c r="T77" s="30" t="n">
        <v>1849</v>
      </c>
      <c r="U77" s="30" t="n">
        <v>1849</v>
      </c>
      <c r="V77" s="30"/>
      <c r="W77" s="30" t="s">
        <v>53</v>
      </c>
      <c r="X77" s="30" t="s">
        <v>53</v>
      </c>
      <c r="Y77" s="30" t="s">
        <v>53</v>
      </c>
      <c r="Z77" s="30" t="s">
        <v>53</v>
      </c>
      <c r="AA77" s="30" t="s">
        <v>53</v>
      </c>
      <c r="AB77" s="30" t="s">
        <v>53</v>
      </c>
      <c r="AC77" s="30" t="s">
        <v>54</v>
      </c>
      <c r="AD77" s="30" t="s">
        <v>53</v>
      </c>
      <c r="AE77" s="30" t="s">
        <v>54</v>
      </c>
      <c r="AF77" s="30" t="n">
        <v>0</v>
      </c>
      <c r="AG77" s="30" t="n">
        <v>0</v>
      </c>
      <c r="AH77" s="30" t="n">
        <v>1</v>
      </c>
      <c r="AI77" s="30" t="n">
        <v>0</v>
      </c>
      <c r="AJ77" s="30" t="n">
        <v>1</v>
      </c>
      <c r="AK77" s="30" t="n">
        <v>0</v>
      </c>
      <c r="AL77" s="26"/>
    </row>
    <row collapsed="false" customFormat="false" customHeight="false" hidden="false" ht="14.5" outlineLevel="0" r="78">
      <c r="A78" s="30" t="n">
        <v>70</v>
      </c>
      <c r="B78" s="30" t="s">
        <v>45</v>
      </c>
      <c r="C78" s="30" t="s">
        <v>59</v>
      </c>
      <c r="D78" s="30" t="s">
        <v>151</v>
      </c>
      <c r="E78" s="30" t="n">
        <v>6</v>
      </c>
      <c r="F78" s="30" t="n">
        <v>1</v>
      </c>
      <c r="G78" s="30"/>
      <c r="H78" s="30" t="s">
        <v>158</v>
      </c>
      <c r="I78" s="30" t="s">
        <v>56</v>
      </c>
      <c r="J78" s="30"/>
      <c r="K78" s="30" t="s">
        <v>101</v>
      </c>
      <c r="L78" s="30" t="s">
        <v>65</v>
      </c>
      <c r="M78" s="30" t="n">
        <v>1982</v>
      </c>
      <c r="N78" s="30" t="s">
        <v>58</v>
      </c>
      <c r="O78" s="30" t="n">
        <v>7</v>
      </c>
      <c r="P78" s="30" t="n">
        <v>0</v>
      </c>
      <c r="Q78" s="30" t="n">
        <v>3</v>
      </c>
      <c r="R78" s="30" t="n">
        <v>74</v>
      </c>
      <c r="S78" s="30" t="n">
        <v>3610</v>
      </c>
      <c r="T78" s="30" t="n">
        <v>3610</v>
      </c>
      <c r="U78" s="30" t="n">
        <v>3610</v>
      </c>
      <c r="V78" s="30"/>
      <c r="W78" s="30" t="s">
        <v>53</v>
      </c>
      <c r="X78" s="30" t="s">
        <v>53</v>
      </c>
      <c r="Y78" s="30" t="s">
        <v>53</v>
      </c>
      <c r="Z78" s="30" t="s">
        <v>53</v>
      </c>
      <c r="AA78" s="30" t="s">
        <v>53</v>
      </c>
      <c r="AB78" s="30" t="s">
        <v>53</v>
      </c>
      <c r="AC78" s="30" t="s">
        <v>54</v>
      </c>
      <c r="AD78" s="30" t="s">
        <v>53</v>
      </c>
      <c r="AE78" s="30" t="s">
        <v>54</v>
      </c>
      <c r="AF78" s="30" t="n">
        <v>3</v>
      </c>
      <c r="AG78" s="30" t="n">
        <v>0</v>
      </c>
      <c r="AH78" s="30" t="n">
        <v>1</v>
      </c>
      <c r="AI78" s="30" t="n">
        <v>0</v>
      </c>
      <c r="AJ78" s="30" t="n">
        <v>1</v>
      </c>
      <c r="AK78" s="30" t="n">
        <v>0</v>
      </c>
      <c r="AL78" s="26"/>
    </row>
    <row collapsed="false" customFormat="false" customHeight="false" hidden="false" ht="14.5" outlineLevel="0" r="79">
      <c r="A79" s="30" t="n">
        <v>71</v>
      </c>
      <c r="B79" s="30" t="s">
        <v>45</v>
      </c>
      <c r="C79" s="30" t="s">
        <v>59</v>
      </c>
      <c r="D79" s="30" t="s">
        <v>151</v>
      </c>
      <c r="E79" s="30" t="n">
        <v>6</v>
      </c>
      <c r="F79" s="30" t="n">
        <v>2</v>
      </c>
      <c r="G79" s="30"/>
      <c r="H79" s="30" t="s">
        <v>159</v>
      </c>
      <c r="I79" s="30" t="s">
        <v>56</v>
      </c>
      <c r="J79" s="30"/>
      <c r="K79" s="30" t="s">
        <v>101</v>
      </c>
      <c r="L79" s="30" t="s">
        <v>65</v>
      </c>
      <c r="M79" s="30" t="n">
        <v>1982</v>
      </c>
      <c r="N79" s="30" t="s">
        <v>58</v>
      </c>
      <c r="O79" s="30" t="n">
        <v>9</v>
      </c>
      <c r="P79" s="30" t="n">
        <v>0</v>
      </c>
      <c r="Q79" s="30" t="n">
        <v>2</v>
      </c>
      <c r="R79" s="30" t="n">
        <v>70</v>
      </c>
      <c r="S79" s="30" t="n">
        <v>3356</v>
      </c>
      <c r="T79" s="30" t="n">
        <v>3356</v>
      </c>
      <c r="U79" s="30" t="n">
        <v>3356</v>
      </c>
      <c r="V79" s="30"/>
      <c r="W79" s="30" t="s">
        <v>53</v>
      </c>
      <c r="X79" s="30" t="s">
        <v>53</v>
      </c>
      <c r="Y79" s="30" t="s">
        <v>53</v>
      </c>
      <c r="Z79" s="30" t="s">
        <v>53</v>
      </c>
      <c r="AA79" s="30" t="s">
        <v>53</v>
      </c>
      <c r="AB79" s="30" t="s">
        <v>53</v>
      </c>
      <c r="AC79" s="30" t="s">
        <v>54</v>
      </c>
      <c r="AD79" s="30" t="s">
        <v>53</v>
      </c>
      <c r="AE79" s="30" t="s">
        <v>54</v>
      </c>
      <c r="AF79" s="30" t="n">
        <v>2</v>
      </c>
      <c r="AG79" s="30" t="n">
        <v>0</v>
      </c>
      <c r="AH79" s="30" t="n">
        <v>1</v>
      </c>
      <c r="AI79" s="30" t="n">
        <v>0</v>
      </c>
      <c r="AJ79" s="30" t="n">
        <v>1</v>
      </c>
      <c r="AK79" s="30" t="n">
        <v>0</v>
      </c>
      <c r="AL79" s="26"/>
    </row>
    <row collapsed="false" customFormat="false" customHeight="false" hidden="false" ht="14.5" outlineLevel="0" r="80">
      <c r="A80" s="30" t="n">
        <v>72</v>
      </c>
      <c r="B80" s="30" t="s">
        <v>45</v>
      </c>
      <c r="C80" s="30" t="s">
        <v>59</v>
      </c>
      <c r="D80" s="30" t="s">
        <v>151</v>
      </c>
      <c r="E80" s="30" t="n">
        <v>7</v>
      </c>
      <c r="F80" s="30" t="n">
        <v>1</v>
      </c>
      <c r="G80" s="30"/>
      <c r="H80" s="30" t="s">
        <v>160</v>
      </c>
      <c r="I80" s="30" t="s">
        <v>56</v>
      </c>
      <c r="J80" s="30"/>
      <c r="K80" s="30" t="s">
        <v>101</v>
      </c>
      <c r="L80" s="30" t="s">
        <v>65</v>
      </c>
      <c r="M80" s="30" t="n">
        <v>1980</v>
      </c>
      <c r="N80" s="30" t="s">
        <v>58</v>
      </c>
      <c r="O80" s="30" t="n">
        <v>7</v>
      </c>
      <c r="P80" s="30" t="n">
        <v>0</v>
      </c>
      <c r="Q80" s="30" t="n">
        <v>2</v>
      </c>
      <c r="R80" s="30" t="n">
        <v>56</v>
      </c>
      <c r="S80" s="30" t="n">
        <v>2943</v>
      </c>
      <c r="T80" s="30" t="n">
        <v>2943</v>
      </c>
      <c r="U80" s="30" t="n">
        <v>2943</v>
      </c>
      <c r="V80" s="30"/>
      <c r="W80" s="30" t="s">
        <v>53</v>
      </c>
      <c r="X80" s="30" t="s">
        <v>53</v>
      </c>
      <c r="Y80" s="30" t="s">
        <v>53</v>
      </c>
      <c r="Z80" s="30" t="s">
        <v>53</v>
      </c>
      <c r="AA80" s="30" t="s">
        <v>53</v>
      </c>
      <c r="AB80" s="30" t="s">
        <v>53</v>
      </c>
      <c r="AC80" s="30" t="s">
        <v>54</v>
      </c>
      <c r="AD80" s="30" t="s">
        <v>53</v>
      </c>
      <c r="AE80" s="30" t="s">
        <v>54</v>
      </c>
      <c r="AF80" s="30" t="n">
        <v>2</v>
      </c>
      <c r="AG80" s="30" t="n">
        <v>0</v>
      </c>
      <c r="AH80" s="30" t="n">
        <v>1</v>
      </c>
      <c r="AI80" s="30" t="n">
        <v>0</v>
      </c>
      <c r="AJ80" s="30" t="n">
        <v>1</v>
      </c>
      <c r="AK80" s="30" t="n">
        <v>0</v>
      </c>
      <c r="AL80" s="26"/>
    </row>
    <row collapsed="false" customFormat="false" customHeight="false" hidden="false" ht="14.5" outlineLevel="0" r="81">
      <c r="A81" s="30" t="n">
        <v>73</v>
      </c>
      <c r="B81" s="30" t="s">
        <v>45</v>
      </c>
      <c r="C81" s="30" t="s">
        <v>59</v>
      </c>
      <c r="D81" s="30" t="s">
        <v>151</v>
      </c>
      <c r="E81" s="30" t="n">
        <v>7</v>
      </c>
      <c r="F81" s="30" t="n">
        <v>2</v>
      </c>
      <c r="G81" s="30"/>
      <c r="H81" s="30" t="s">
        <v>161</v>
      </c>
      <c r="I81" s="30" t="s">
        <v>56</v>
      </c>
      <c r="J81" s="30"/>
      <c r="K81" s="30" t="s">
        <v>101</v>
      </c>
      <c r="L81" s="30" t="s">
        <v>65</v>
      </c>
      <c r="M81" s="30" t="n">
        <v>1980</v>
      </c>
      <c r="N81" s="30" t="s">
        <v>58</v>
      </c>
      <c r="O81" s="30" t="n">
        <v>9</v>
      </c>
      <c r="P81" s="30" t="n">
        <v>0</v>
      </c>
      <c r="Q81" s="30" t="n">
        <v>2</v>
      </c>
      <c r="R81" s="30" t="n">
        <v>70</v>
      </c>
      <c r="S81" s="30" t="n">
        <v>3310</v>
      </c>
      <c r="T81" s="30" t="n">
        <v>3310</v>
      </c>
      <c r="U81" s="30" t="n">
        <v>3310</v>
      </c>
      <c r="V81" s="30"/>
      <c r="W81" s="30" t="s">
        <v>53</v>
      </c>
      <c r="X81" s="30" t="s">
        <v>53</v>
      </c>
      <c r="Y81" s="30" t="s">
        <v>53</v>
      </c>
      <c r="Z81" s="30" t="s">
        <v>53</v>
      </c>
      <c r="AA81" s="30" t="s">
        <v>53</v>
      </c>
      <c r="AB81" s="30" t="s">
        <v>53</v>
      </c>
      <c r="AC81" s="30" t="s">
        <v>54</v>
      </c>
      <c r="AD81" s="30" t="s">
        <v>53</v>
      </c>
      <c r="AE81" s="30" t="s">
        <v>54</v>
      </c>
      <c r="AF81" s="30" t="n">
        <v>2</v>
      </c>
      <c r="AG81" s="30" t="n">
        <v>0</v>
      </c>
      <c r="AH81" s="30" t="n">
        <v>1</v>
      </c>
      <c r="AI81" s="30" t="n">
        <v>0</v>
      </c>
      <c r="AJ81" s="30" t="n">
        <v>1</v>
      </c>
      <c r="AK81" s="30" t="n">
        <v>0</v>
      </c>
      <c r="AL81" s="26"/>
    </row>
    <row collapsed="false" customFormat="false" customHeight="false" hidden="false" ht="14.5" outlineLevel="0" r="82">
      <c r="A82" s="30" t="n">
        <v>74</v>
      </c>
      <c r="B82" s="30" t="s">
        <v>45</v>
      </c>
      <c r="C82" s="30" t="s">
        <v>59</v>
      </c>
      <c r="D82" s="30" t="s">
        <v>151</v>
      </c>
      <c r="E82" s="30" t="n">
        <v>9</v>
      </c>
      <c r="F82" s="30" t="n">
        <v>1</v>
      </c>
      <c r="G82" s="30"/>
      <c r="H82" s="30" t="s">
        <v>162</v>
      </c>
      <c r="I82" s="30" t="s">
        <v>56</v>
      </c>
      <c r="J82" s="30"/>
      <c r="K82" s="30" t="s">
        <v>101</v>
      </c>
      <c r="L82" s="30" t="s">
        <v>65</v>
      </c>
      <c r="M82" s="30" t="n">
        <v>1979</v>
      </c>
      <c r="N82" s="30" t="s">
        <v>58</v>
      </c>
      <c r="O82" s="30" t="n">
        <v>5</v>
      </c>
      <c r="P82" s="30" t="n">
        <v>0</v>
      </c>
      <c r="Q82" s="30" t="n">
        <v>2</v>
      </c>
      <c r="R82" s="30" t="n">
        <v>40</v>
      </c>
      <c r="S82" s="30" t="n">
        <v>2159</v>
      </c>
      <c r="T82" s="30" t="n">
        <v>2159</v>
      </c>
      <c r="U82" s="30" t="n">
        <v>2159</v>
      </c>
      <c r="V82" s="30"/>
      <c r="W82" s="30" t="s">
        <v>53</v>
      </c>
      <c r="X82" s="30" t="s">
        <v>53</v>
      </c>
      <c r="Y82" s="30" t="s">
        <v>53</v>
      </c>
      <c r="Z82" s="30" t="s">
        <v>53</v>
      </c>
      <c r="AA82" s="30" t="s">
        <v>53</v>
      </c>
      <c r="AB82" s="30" t="s">
        <v>53</v>
      </c>
      <c r="AC82" s="30" t="s">
        <v>54</v>
      </c>
      <c r="AD82" s="30" t="s">
        <v>53</v>
      </c>
      <c r="AE82" s="30" t="s">
        <v>54</v>
      </c>
      <c r="AF82" s="30" t="n">
        <v>0</v>
      </c>
      <c r="AG82" s="30" t="n">
        <v>0</v>
      </c>
      <c r="AH82" s="30" t="n">
        <v>1</v>
      </c>
      <c r="AI82" s="30" t="n">
        <v>0</v>
      </c>
      <c r="AJ82" s="30" t="n">
        <v>1</v>
      </c>
      <c r="AK82" s="30" t="n">
        <v>0</v>
      </c>
      <c r="AL82" s="26"/>
    </row>
    <row collapsed="false" customFormat="false" customHeight="false" hidden="false" ht="14.5" outlineLevel="0" r="83">
      <c r="A83" s="30" t="n">
        <v>75</v>
      </c>
      <c r="B83" s="30" t="s">
        <v>45</v>
      </c>
      <c r="C83" s="30" t="s">
        <v>59</v>
      </c>
      <c r="D83" s="30" t="s">
        <v>151</v>
      </c>
      <c r="E83" s="30" t="n">
        <v>10</v>
      </c>
      <c r="F83" s="30" t="n">
        <v>1</v>
      </c>
      <c r="G83" s="30"/>
      <c r="H83" s="30" t="s">
        <v>163</v>
      </c>
      <c r="I83" s="30" t="s">
        <v>56</v>
      </c>
      <c r="J83" s="30"/>
      <c r="K83" s="30" t="s">
        <v>101</v>
      </c>
      <c r="L83" s="30" t="n">
        <v>131</v>
      </c>
      <c r="M83" s="30" t="n">
        <v>1981</v>
      </c>
      <c r="N83" s="30" t="s">
        <v>58</v>
      </c>
      <c r="O83" s="30" t="n">
        <v>7</v>
      </c>
      <c r="P83" s="30" t="n">
        <v>0</v>
      </c>
      <c r="Q83" s="30" t="n">
        <v>3</v>
      </c>
      <c r="R83" s="30" t="n">
        <v>74</v>
      </c>
      <c r="S83" s="30" t="n">
        <v>3667.1</v>
      </c>
      <c r="T83" s="30" t="n">
        <v>3667.1</v>
      </c>
      <c r="U83" s="30" t="n">
        <v>3616</v>
      </c>
      <c r="V83" s="30" t="n">
        <v>51.1</v>
      </c>
      <c r="W83" s="30" t="s">
        <v>53</v>
      </c>
      <c r="X83" s="30" t="s">
        <v>53</v>
      </c>
      <c r="Y83" s="30" t="s">
        <v>53</v>
      </c>
      <c r="Z83" s="30" t="s">
        <v>53</v>
      </c>
      <c r="AA83" s="30" t="s">
        <v>53</v>
      </c>
      <c r="AB83" s="30" t="s">
        <v>53</v>
      </c>
      <c r="AC83" s="30" t="s">
        <v>54</v>
      </c>
      <c r="AD83" s="30" t="s">
        <v>53</v>
      </c>
      <c r="AE83" s="30" t="s">
        <v>54</v>
      </c>
      <c r="AF83" s="30" t="n">
        <v>3</v>
      </c>
      <c r="AG83" s="30" t="n">
        <v>0</v>
      </c>
      <c r="AH83" s="30" t="n">
        <v>1</v>
      </c>
      <c r="AI83" s="30" t="n">
        <v>0</v>
      </c>
      <c r="AJ83" s="30" t="n">
        <v>0</v>
      </c>
      <c r="AK83" s="30" t="n">
        <v>0</v>
      </c>
      <c r="AL83" s="26"/>
    </row>
    <row collapsed="false" customFormat="false" customHeight="false" hidden="false" ht="14.5" outlineLevel="0" r="84">
      <c r="A84" s="30" t="n">
        <v>76</v>
      </c>
      <c r="B84" s="30" t="s">
        <v>45</v>
      </c>
      <c r="C84" s="30" t="s">
        <v>59</v>
      </c>
      <c r="D84" s="30" t="s">
        <v>151</v>
      </c>
      <c r="E84" s="30" t="n">
        <v>10</v>
      </c>
      <c r="F84" s="30" t="n">
        <v>2</v>
      </c>
      <c r="G84" s="30"/>
      <c r="H84" s="30" t="s">
        <v>164</v>
      </c>
      <c r="I84" s="30" t="s">
        <v>56</v>
      </c>
      <c r="J84" s="30"/>
      <c r="K84" s="30" t="s">
        <v>101</v>
      </c>
      <c r="L84" s="30" t="s">
        <v>65</v>
      </c>
      <c r="M84" s="30" t="n">
        <v>1981</v>
      </c>
      <c r="N84" s="30" t="s">
        <v>58</v>
      </c>
      <c r="O84" s="30" t="n">
        <v>9</v>
      </c>
      <c r="P84" s="30" t="n">
        <v>0</v>
      </c>
      <c r="Q84" s="30" t="n">
        <v>2</v>
      </c>
      <c r="R84" s="30" t="n">
        <v>70</v>
      </c>
      <c r="S84" s="30" t="n">
        <v>3314</v>
      </c>
      <c r="T84" s="30" t="n">
        <v>3314</v>
      </c>
      <c r="U84" s="30" t="n">
        <v>3314</v>
      </c>
      <c r="V84" s="30"/>
      <c r="W84" s="30" t="s">
        <v>53</v>
      </c>
      <c r="X84" s="30" t="s">
        <v>53</v>
      </c>
      <c r="Y84" s="30" t="s">
        <v>53</v>
      </c>
      <c r="Z84" s="30" t="s">
        <v>53</v>
      </c>
      <c r="AA84" s="30" t="s">
        <v>53</v>
      </c>
      <c r="AB84" s="30" t="s">
        <v>53</v>
      </c>
      <c r="AC84" s="30" t="s">
        <v>54</v>
      </c>
      <c r="AD84" s="30" t="s">
        <v>53</v>
      </c>
      <c r="AE84" s="30" t="s">
        <v>54</v>
      </c>
      <c r="AF84" s="30" t="n">
        <v>2</v>
      </c>
      <c r="AG84" s="30" t="n">
        <v>0</v>
      </c>
      <c r="AH84" s="30" t="n">
        <v>1</v>
      </c>
      <c r="AI84" s="30" t="n">
        <v>0</v>
      </c>
      <c r="AJ84" s="30" t="n">
        <v>1</v>
      </c>
      <c r="AK84" s="30" t="n">
        <v>0</v>
      </c>
      <c r="AL84" s="26"/>
    </row>
    <row collapsed="false" customFormat="false" customHeight="false" hidden="false" ht="14.5" outlineLevel="0" r="85">
      <c r="A85" s="30" t="n">
        <v>77</v>
      </c>
      <c r="B85" s="30" t="s">
        <v>45</v>
      </c>
      <c r="C85" s="30" t="s">
        <v>59</v>
      </c>
      <c r="D85" s="30" t="s">
        <v>151</v>
      </c>
      <c r="E85" s="30" t="n">
        <v>16</v>
      </c>
      <c r="F85" s="30" t="n">
        <v>1</v>
      </c>
      <c r="G85" s="30"/>
      <c r="H85" s="30" t="s">
        <v>165</v>
      </c>
      <c r="I85" s="30" t="s">
        <v>56</v>
      </c>
      <c r="J85" s="30"/>
      <c r="K85" s="30" t="s">
        <v>101</v>
      </c>
      <c r="L85" s="30" t="s">
        <v>65</v>
      </c>
      <c r="M85" s="30" t="n">
        <v>1976</v>
      </c>
      <c r="N85" s="30" t="s">
        <v>58</v>
      </c>
      <c r="O85" s="30" t="n">
        <v>5</v>
      </c>
      <c r="P85" s="30" t="n">
        <v>0</v>
      </c>
      <c r="Q85" s="30" t="n">
        <v>3</v>
      </c>
      <c r="R85" s="30" t="n">
        <v>58</v>
      </c>
      <c r="S85" s="30" t="n">
        <v>3894</v>
      </c>
      <c r="T85" s="30" t="n">
        <v>3894</v>
      </c>
      <c r="U85" s="30" t="n">
        <v>3894</v>
      </c>
      <c r="V85" s="30"/>
      <c r="W85" s="30" t="s">
        <v>53</v>
      </c>
      <c r="X85" s="30" t="s">
        <v>53</v>
      </c>
      <c r="Y85" s="30" t="s">
        <v>53</v>
      </c>
      <c r="Z85" s="30" t="s">
        <v>53</v>
      </c>
      <c r="AA85" s="30" t="s">
        <v>53</v>
      </c>
      <c r="AB85" s="30" t="s">
        <v>53</v>
      </c>
      <c r="AC85" s="30" t="s">
        <v>54</v>
      </c>
      <c r="AD85" s="30" t="s">
        <v>53</v>
      </c>
      <c r="AE85" s="30" t="s">
        <v>54</v>
      </c>
      <c r="AF85" s="30" t="n">
        <v>0</v>
      </c>
      <c r="AG85" s="30" t="n">
        <v>0</v>
      </c>
      <c r="AH85" s="30" t="n">
        <v>1</v>
      </c>
      <c r="AI85" s="30" t="n">
        <v>0</v>
      </c>
      <c r="AJ85" s="30" t="n">
        <v>1</v>
      </c>
      <c r="AK85" s="30" t="n">
        <v>0</v>
      </c>
      <c r="AL85" s="26"/>
    </row>
    <row collapsed="false" customFormat="false" customHeight="false" hidden="false" ht="14.5" outlineLevel="0" r="86">
      <c r="A86" s="30" t="n">
        <v>78</v>
      </c>
      <c r="B86" s="30" t="s">
        <v>45</v>
      </c>
      <c r="C86" s="30" t="s">
        <v>59</v>
      </c>
      <c r="D86" s="30" t="s">
        <v>151</v>
      </c>
      <c r="E86" s="30" t="n">
        <v>16</v>
      </c>
      <c r="F86" s="30" t="n">
        <v>2</v>
      </c>
      <c r="G86" s="30"/>
      <c r="H86" s="30" t="s">
        <v>166</v>
      </c>
      <c r="I86" s="30" t="s">
        <v>56</v>
      </c>
      <c r="J86" s="30"/>
      <c r="K86" s="30" t="s">
        <v>101</v>
      </c>
      <c r="L86" s="30" t="s">
        <v>65</v>
      </c>
      <c r="M86" s="30" t="n">
        <v>1976</v>
      </c>
      <c r="N86" s="30" t="s">
        <v>58</v>
      </c>
      <c r="O86" s="30" t="n">
        <v>5</v>
      </c>
      <c r="P86" s="30" t="n">
        <v>0</v>
      </c>
      <c r="Q86" s="30" t="n">
        <v>2</v>
      </c>
      <c r="R86" s="30" t="n">
        <v>38</v>
      </c>
      <c r="S86" s="30" t="n">
        <v>1863</v>
      </c>
      <c r="T86" s="30" t="n">
        <v>1863</v>
      </c>
      <c r="U86" s="30" t="n">
        <v>1863</v>
      </c>
      <c r="V86" s="30"/>
      <c r="W86" s="30" t="s">
        <v>53</v>
      </c>
      <c r="X86" s="30" t="s">
        <v>53</v>
      </c>
      <c r="Y86" s="30" t="s">
        <v>53</v>
      </c>
      <c r="Z86" s="30" t="s">
        <v>53</v>
      </c>
      <c r="AA86" s="30" t="s">
        <v>53</v>
      </c>
      <c r="AB86" s="30" t="s">
        <v>53</v>
      </c>
      <c r="AC86" s="30" t="s">
        <v>54</v>
      </c>
      <c r="AD86" s="30" t="s">
        <v>53</v>
      </c>
      <c r="AE86" s="30" t="s">
        <v>54</v>
      </c>
      <c r="AF86" s="30" t="n">
        <v>0</v>
      </c>
      <c r="AG86" s="30" t="n">
        <v>0</v>
      </c>
      <c r="AH86" s="30" t="n">
        <v>1</v>
      </c>
      <c r="AI86" s="30" t="n">
        <v>0</v>
      </c>
      <c r="AJ86" s="30" t="n">
        <v>1</v>
      </c>
      <c r="AK86" s="30" t="n">
        <v>0</v>
      </c>
      <c r="AL86" s="26"/>
    </row>
    <row collapsed="false" customFormat="false" customHeight="false" hidden="false" ht="14.5" outlineLevel="0" r="87">
      <c r="A87" s="30" t="n">
        <v>79</v>
      </c>
      <c r="B87" s="30" t="s">
        <v>45</v>
      </c>
      <c r="C87" s="30" t="s">
        <v>59</v>
      </c>
      <c r="D87" s="30" t="s">
        <v>151</v>
      </c>
      <c r="E87" s="30" t="n">
        <v>18</v>
      </c>
      <c r="F87" s="30" t="n">
        <v>1</v>
      </c>
      <c r="G87" s="30"/>
      <c r="H87" s="30" t="s">
        <v>167</v>
      </c>
      <c r="I87" s="30" t="s">
        <v>56</v>
      </c>
      <c r="J87" s="30"/>
      <c r="K87" s="30" t="s">
        <v>101</v>
      </c>
      <c r="L87" s="30" t="s">
        <v>65</v>
      </c>
      <c r="M87" s="30" t="n">
        <v>1976</v>
      </c>
      <c r="N87" s="30" t="s">
        <v>58</v>
      </c>
      <c r="O87" s="30" t="n">
        <v>7</v>
      </c>
      <c r="P87" s="30" t="n">
        <v>0</v>
      </c>
      <c r="Q87" s="30" t="n">
        <v>2</v>
      </c>
      <c r="R87" s="30" t="n">
        <v>56</v>
      </c>
      <c r="S87" s="30" t="n">
        <v>2965</v>
      </c>
      <c r="T87" s="30" t="n">
        <v>2965</v>
      </c>
      <c r="U87" s="30" t="n">
        <v>2965</v>
      </c>
      <c r="V87" s="30"/>
      <c r="W87" s="30" t="s">
        <v>53</v>
      </c>
      <c r="X87" s="30" t="s">
        <v>53</v>
      </c>
      <c r="Y87" s="30" t="s">
        <v>53</v>
      </c>
      <c r="Z87" s="30" t="s">
        <v>53</v>
      </c>
      <c r="AA87" s="30" t="s">
        <v>53</v>
      </c>
      <c r="AB87" s="30" t="s">
        <v>53</v>
      </c>
      <c r="AC87" s="30" t="s">
        <v>54</v>
      </c>
      <c r="AD87" s="30" t="s">
        <v>53</v>
      </c>
      <c r="AE87" s="30" t="s">
        <v>54</v>
      </c>
      <c r="AF87" s="30" t="n">
        <v>2</v>
      </c>
      <c r="AG87" s="30" t="n">
        <v>0</v>
      </c>
      <c r="AH87" s="30" t="n">
        <v>1</v>
      </c>
      <c r="AI87" s="30" t="n">
        <v>0</v>
      </c>
      <c r="AJ87" s="30" t="n">
        <v>1</v>
      </c>
      <c r="AK87" s="30" t="n">
        <v>0</v>
      </c>
      <c r="AL87" s="26"/>
    </row>
    <row collapsed="false" customFormat="false" customHeight="false" hidden="false" ht="14.5" outlineLevel="0" r="88">
      <c r="A88" s="30" t="n">
        <v>80</v>
      </c>
      <c r="B88" s="30" t="s">
        <v>45</v>
      </c>
      <c r="C88" s="30" t="s">
        <v>59</v>
      </c>
      <c r="D88" s="30" t="s">
        <v>151</v>
      </c>
      <c r="E88" s="30" t="n">
        <v>18</v>
      </c>
      <c r="F88" s="30" t="n">
        <v>2</v>
      </c>
      <c r="G88" s="30"/>
      <c r="H88" s="30" t="s">
        <v>168</v>
      </c>
      <c r="I88" s="30" t="s">
        <v>56</v>
      </c>
      <c r="J88" s="30"/>
      <c r="K88" s="30" t="s">
        <v>101</v>
      </c>
      <c r="L88" s="30" t="s">
        <v>65</v>
      </c>
      <c r="M88" s="30" t="n">
        <v>1976</v>
      </c>
      <c r="N88" s="30" t="s">
        <v>58</v>
      </c>
      <c r="O88" s="30" t="n">
        <v>9</v>
      </c>
      <c r="P88" s="30" t="n">
        <v>0</v>
      </c>
      <c r="Q88" s="30" t="n">
        <v>2</v>
      </c>
      <c r="R88" s="30" t="n">
        <v>72</v>
      </c>
      <c r="S88" s="30" t="n">
        <v>3311</v>
      </c>
      <c r="T88" s="30" t="n">
        <v>3311</v>
      </c>
      <c r="U88" s="30" t="n">
        <v>3311</v>
      </c>
      <c r="V88" s="30"/>
      <c r="W88" s="30" t="s">
        <v>53</v>
      </c>
      <c r="X88" s="30" t="s">
        <v>53</v>
      </c>
      <c r="Y88" s="30" t="s">
        <v>53</v>
      </c>
      <c r="Z88" s="30" t="s">
        <v>53</v>
      </c>
      <c r="AA88" s="30" t="s">
        <v>53</v>
      </c>
      <c r="AB88" s="30" t="s">
        <v>53</v>
      </c>
      <c r="AC88" s="30" t="s">
        <v>54</v>
      </c>
      <c r="AD88" s="30" t="s">
        <v>53</v>
      </c>
      <c r="AE88" s="30" t="s">
        <v>54</v>
      </c>
      <c r="AF88" s="30" t="n">
        <v>2</v>
      </c>
      <c r="AG88" s="30" t="n">
        <v>0</v>
      </c>
      <c r="AH88" s="30" t="n">
        <v>1</v>
      </c>
      <c r="AI88" s="30" t="n">
        <v>0</v>
      </c>
      <c r="AJ88" s="30" t="n">
        <v>1</v>
      </c>
      <c r="AK88" s="30" t="n">
        <v>0</v>
      </c>
      <c r="AL88" s="26"/>
    </row>
    <row collapsed="false" customFormat="false" customHeight="false" hidden="false" ht="14.5" outlineLevel="0" r="89">
      <c r="A89" s="30" t="n">
        <v>81</v>
      </c>
      <c r="B89" s="30" t="s">
        <v>45</v>
      </c>
      <c r="C89" s="30" t="s">
        <v>59</v>
      </c>
      <c r="D89" s="30" t="s">
        <v>151</v>
      </c>
      <c r="E89" s="30" t="n">
        <v>18</v>
      </c>
      <c r="F89" s="30" t="n">
        <v>3</v>
      </c>
      <c r="G89" s="30"/>
      <c r="H89" s="30" t="s">
        <v>169</v>
      </c>
      <c r="I89" s="30" t="s">
        <v>56</v>
      </c>
      <c r="J89" s="30"/>
      <c r="K89" s="30" t="s">
        <v>101</v>
      </c>
      <c r="L89" s="30" t="s">
        <v>65</v>
      </c>
      <c r="M89" s="30" t="n">
        <v>1978</v>
      </c>
      <c r="N89" s="30" t="s">
        <v>58</v>
      </c>
      <c r="O89" s="30" t="n">
        <v>14</v>
      </c>
      <c r="P89" s="30" t="n">
        <v>0</v>
      </c>
      <c r="Q89" s="30" t="n">
        <v>1</v>
      </c>
      <c r="R89" s="30" t="n">
        <v>56</v>
      </c>
      <c r="S89" s="30" t="n">
        <v>4105.3</v>
      </c>
      <c r="T89" s="30" t="n">
        <v>4105.3</v>
      </c>
      <c r="U89" s="30" t="n">
        <v>3422</v>
      </c>
      <c r="V89" s="30" t="n">
        <v>683.3</v>
      </c>
      <c r="W89" s="30" t="s">
        <v>53</v>
      </c>
      <c r="X89" s="30" t="s">
        <v>53</v>
      </c>
      <c r="Y89" s="30" t="s">
        <v>53</v>
      </c>
      <c r="Z89" s="30" t="s">
        <v>53</v>
      </c>
      <c r="AA89" s="30" t="s">
        <v>53</v>
      </c>
      <c r="AB89" s="30" t="s">
        <v>54</v>
      </c>
      <c r="AC89" s="30" t="s">
        <v>54</v>
      </c>
      <c r="AD89" s="30" t="s">
        <v>54</v>
      </c>
      <c r="AE89" s="30" t="s">
        <v>53</v>
      </c>
      <c r="AF89" s="30" t="n">
        <v>2</v>
      </c>
      <c r="AG89" s="30" t="n">
        <v>0</v>
      </c>
      <c r="AH89" s="30" t="n">
        <v>0</v>
      </c>
      <c r="AI89" s="30" t="n">
        <v>0</v>
      </c>
      <c r="AJ89" s="30" t="n">
        <v>0</v>
      </c>
      <c r="AK89" s="30" t="n">
        <v>0</v>
      </c>
      <c r="AL89" s="26"/>
    </row>
    <row collapsed="false" customFormat="false" customHeight="false" hidden="false" ht="14.5" outlineLevel="0" r="90">
      <c r="A90" s="30" t="n">
        <v>82</v>
      </c>
      <c r="B90" s="30" t="s">
        <v>45</v>
      </c>
      <c r="C90" s="30" t="s">
        <v>59</v>
      </c>
      <c r="D90" s="30" t="s">
        <v>151</v>
      </c>
      <c r="E90" s="30" t="n">
        <v>18</v>
      </c>
      <c r="F90" s="30" t="n">
        <v>4</v>
      </c>
      <c r="G90" s="30"/>
      <c r="H90" s="30" t="s">
        <v>170</v>
      </c>
      <c r="I90" s="30" t="s">
        <v>56</v>
      </c>
      <c r="J90" s="30"/>
      <c r="K90" s="30" t="s">
        <v>101</v>
      </c>
      <c r="L90" s="30" t="s">
        <v>65</v>
      </c>
      <c r="M90" s="30" t="n">
        <v>1977</v>
      </c>
      <c r="N90" s="30" t="s">
        <v>58</v>
      </c>
      <c r="O90" s="30" t="n">
        <v>14</v>
      </c>
      <c r="P90" s="30" t="n">
        <v>0</v>
      </c>
      <c r="Q90" s="30" t="n">
        <v>1</v>
      </c>
      <c r="R90" s="30" t="n">
        <v>45</v>
      </c>
      <c r="S90" s="30" t="n">
        <v>4365.4</v>
      </c>
      <c r="T90" s="30" t="n">
        <v>4365.4</v>
      </c>
      <c r="U90" s="30" t="n">
        <v>3550</v>
      </c>
      <c r="V90" s="30" t="n">
        <v>815.4</v>
      </c>
      <c r="W90" s="30" t="s">
        <v>53</v>
      </c>
      <c r="X90" s="30" t="s">
        <v>53</v>
      </c>
      <c r="Y90" s="30" t="s">
        <v>53</v>
      </c>
      <c r="Z90" s="30" t="s">
        <v>53</v>
      </c>
      <c r="AA90" s="30" t="s">
        <v>53</v>
      </c>
      <c r="AB90" s="30" t="s">
        <v>54</v>
      </c>
      <c r="AC90" s="30" t="s">
        <v>54</v>
      </c>
      <c r="AD90" s="30" t="s">
        <v>54</v>
      </c>
      <c r="AE90" s="30" t="s">
        <v>53</v>
      </c>
      <c r="AF90" s="30" t="n">
        <v>2</v>
      </c>
      <c r="AG90" s="30" t="n">
        <v>0</v>
      </c>
      <c r="AH90" s="30" t="n">
        <v>2</v>
      </c>
      <c r="AI90" s="30" t="n">
        <v>0</v>
      </c>
      <c r="AJ90" s="30" t="n">
        <v>0</v>
      </c>
      <c r="AK90" s="30" t="n">
        <v>0</v>
      </c>
      <c r="AL90" s="26"/>
    </row>
    <row collapsed="false" customFormat="false" customHeight="false" hidden="false" ht="14.5" outlineLevel="0" r="91">
      <c r="A91" s="30" t="n">
        <v>83</v>
      </c>
      <c r="B91" s="30" t="s">
        <v>45</v>
      </c>
      <c r="C91" s="30" t="s">
        <v>59</v>
      </c>
      <c r="D91" s="30" t="s">
        <v>151</v>
      </c>
      <c r="E91" s="30" t="n">
        <v>18</v>
      </c>
      <c r="F91" s="30" t="n">
        <v>5</v>
      </c>
      <c r="G91" s="30"/>
      <c r="H91" s="30" t="s">
        <v>171</v>
      </c>
      <c r="I91" s="30" t="s">
        <v>56</v>
      </c>
      <c r="J91" s="30"/>
      <c r="K91" s="30" t="s">
        <v>101</v>
      </c>
      <c r="L91" s="30" t="s">
        <v>65</v>
      </c>
      <c r="M91" s="30" t="n">
        <v>1978</v>
      </c>
      <c r="N91" s="30" t="s">
        <v>58</v>
      </c>
      <c r="O91" s="30" t="n">
        <v>14</v>
      </c>
      <c r="P91" s="30" t="n">
        <v>0</v>
      </c>
      <c r="Q91" s="30" t="n">
        <v>1</v>
      </c>
      <c r="R91" s="30" t="n">
        <v>45</v>
      </c>
      <c r="S91" s="30" t="n">
        <v>4264.5</v>
      </c>
      <c r="T91" s="30" t="n">
        <v>4264.5</v>
      </c>
      <c r="U91" s="30" t="n">
        <v>3547</v>
      </c>
      <c r="V91" s="30" t="n">
        <v>717.5</v>
      </c>
      <c r="W91" s="30" t="s">
        <v>53</v>
      </c>
      <c r="X91" s="30" t="s">
        <v>53</v>
      </c>
      <c r="Y91" s="30" t="s">
        <v>53</v>
      </c>
      <c r="Z91" s="30" t="s">
        <v>53</v>
      </c>
      <c r="AA91" s="30" t="s">
        <v>53</v>
      </c>
      <c r="AB91" s="30" t="s">
        <v>54</v>
      </c>
      <c r="AC91" s="30" t="s">
        <v>54</v>
      </c>
      <c r="AD91" s="30" t="s">
        <v>54</v>
      </c>
      <c r="AE91" s="30" t="s">
        <v>53</v>
      </c>
      <c r="AF91" s="30" t="n">
        <v>2</v>
      </c>
      <c r="AG91" s="30" t="n">
        <v>0</v>
      </c>
      <c r="AH91" s="30" t="n">
        <v>0</v>
      </c>
      <c r="AI91" s="30" t="n">
        <v>0</v>
      </c>
      <c r="AJ91" s="30" t="n">
        <v>0</v>
      </c>
      <c r="AK91" s="30" t="n">
        <v>0</v>
      </c>
      <c r="AL91" s="26"/>
    </row>
    <row collapsed="false" customFormat="false" customHeight="false" hidden="false" ht="14.5" outlineLevel="0" r="92">
      <c r="A92" s="30" t="n">
        <v>84</v>
      </c>
      <c r="B92" s="30" t="s">
        <v>45</v>
      </c>
      <c r="C92" s="30" t="s">
        <v>59</v>
      </c>
      <c r="D92" s="30" t="s">
        <v>151</v>
      </c>
      <c r="E92" s="30" t="n">
        <v>18</v>
      </c>
      <c r="F92" s="30" t="n">
        <v>6</v>
      </c>
      <c r="G92" s="30"/>
      <c r="H92" s="30" t="s">
        <v>172</v>
      </c>
      <c r="I92" s="30" t="s">
        <v>56</v>
      </c>
      <c r="J92" s="30"/>
      <c r="K92" s="30" t="s">
        <v>101</v>
      </c>
      <c r="L92" s="30" t="s">
        <v>65</v>
      </c>
      <c r="M92" s="30" t="n">
        <v>1977</v>
      </c>
      <c r="N92" s="30" t="s">
        <v>58</v>
      </c>
      <c r="O92" s="30" t="n">
        <v>14</v>
      </c>
      <c r="P92" s="30" t="n">
        <v>0</v>
      </c>
      <c r="Q92" s="30" t="n">
        <v>1</v>
      </c>
      <c r="R92" s="30" t="n">
        <v>56</v>
      </c>
      <c r="S92" s="30" t="n">
        <v>3989.8</v>
      </c>
      <c r="T92" s="30" t="n">
        <v>3989.8</v>
      </c>
      <c r="U92" s="30" t="n">
        <v>3407</v>
      </c>
      <c r="V92" s="30" t="n">
        <v>582.8</v>
      </c>
      <c r="W92" s="30" t="s">
        <v>53</v>
      </c>
      <c r="X92" s="30" t="s">
        <v>53</v>
      </c>
      <c r="Y92" s="30" t="s">
        <v>53</v>
      </c>
      <c r="Z92" s="30" t="s">
        <v>53</v>
      </c>
      <c r="AA92" s="30" t="s">
        <v>53</v>
      </c>
      <c r="AB92" s="30" t="s">
        <v>54</v>
      </c>
      <c r="AC92" s="30" t="s">
        <v>54</v>
      </c>
      <c r="AD92" s="30" t="s">
        <v>54</v>
      </c>
      <c r="AE92" s="30" t="s">
        <v>53</v>
      </c>
      <c r="AF92" s="30" t="n">
        <v>2</v>
      </c>
      <c r="AG92" s="30" t="n">
        <v>0</v>
      </c>
      <c r="AH92" s="30" t="n">
        <v>0</v>
      </c>
      <c r="AI92" s="30" t="n">
        <v>0</v>
      </c>
      <c r="AJ92" s="30" t="n">
        <v>1</v>
      </c>
      <c r="AK92" s="30" t="n">
        <v>0</v>
      </c>
      <c r="AL92" s="26"/>
    </row>
    <row collapsed="false" customFormat="false" customHeight="false" hidden="false" ht="14.5" outlineLevel="0" r="93">
      <c r="A93" s="30" t="n">
        <v>85</v>
      </c>
      <c r="B93" s="30" t="s">
        <v>45</v>
      </c>
      <c r="C93" s="30" t="s">
        <v>59</v>
      </c>
      <c r="D93" s="30" t="s">
        <v>151</v>
      </c>
      <c r="E93" s="30" t="n">
        <v>20</v>
      </c>
      <c r="F93" s="30" t="n">
        <v>1</v>
      </c>
      <c r="G93" s="30"/>
      <c r="H93" s="30" t="s">
        <v>173</v>
      </c>
      <c r="I93" s="30" t="s">
        <v>56</v>
      </c>
      <c r="J93" s="30"/>
      <c r="K93" s="30" t="s">
        <v>101</v>
      </c>
      <c r="L93" s="30" t="s">
        <v>51</v>
      </c>
      <c r="M93" s="30" t="n">
        <v>1976</v>
      </c>
      <c r="N93" s="30" t="s">
        <v>58</v>
      </c>
      <c r="O93" s="30" t="s">
        <v>174</v>
      </c>
      <c r="P93" s="30" t="n">
        <v>0</v>
      </c>
      <c r="Q93" s="30" t="n">
        <v>4</v>
      </c>
      <c r="R93" s="30" t="n">
        <v>84</v>
      </c>
      <c r="S93" s="30" t="n">
        <v>4301</v>
      </c>
      <c r="T93" s="30" t="n">
        <v>4301</v>
      </c>
      <c r="U93" s="30" t="n">
        <v>4301</v>
      </c>
      <c r="V93" s="30"/>
      <c r="W93" s="30" t="s">
        <v>53</v>
      </c>
      <c r="X93" s="30" t="s">
        <v>53</v>
      </c>
      <c r="Y93" s="30" t="s">
        <v>53</v>
      </c>
      <c r="Z93" s="30" t="s">
        <v>53</v>
      </c>
      <c r="AA93" s="30" t="s">
        <v>53</v>
      </c>
      <c r="AB93" s="30" t="s">
        <v>53</v>
      </c>
      <c r="AC93" s="30" t="s">
        <v>54</v>
      </c>
      <c r="AD93" s="30" t="s">
        <v>53</v>
      </c>
      <c r="AE93" s="30" t="s">
        <v>54</v>
      </c>
      <c r="AF93" s="30" t="n">
        <v>1</v>
      </c>
      <c r="AG93" s="30" t="n">
        <v>0</v>
      </c>
      <c r="AH93" s="30" t="n">
        <v>1</v>
      </c>
      <c r="AI93" s="30" t="n">
        <v>0</v>
      </c>
      <c r="AJ93" s="30" t="n">
        <v>2</v>
      </c>
      <c r="AK93" s="30" t="n">
        <v>0</v>
      </c>
      <c r="AL93" s="26"/>
    </row>
    <row collapsed="false" customFormat="false" customHeight="false" hidden="false" ht="14.5" outlineLevel="0" r="94">
      <c r="A94" s="30" t="n">
        <v>86</v>
      </c>
      <c r="B94" s="30" t="s">
        <v>45</v>
      </c>
      <c r="C94" s="30" t="s">
        <v>59</v>
      </c>
      <c r="D94" s="30" t="s">
        <v>175</v>
      </c>
      <c r="E94" s="30" t="n">
        <v>3</v>
      </c>
      <c r="F94" s="30"/>
      <c r="G94" s="30"/>
      <c r="H94" s="30" t="s">
        <v>176</v>
      </c>
      <c r="I94" s="30" t="s">
        <v>56</v>
      </c>
      <c r="J94" s="30"/>
      <c r="K94" s="30" t="s">
        <v>101</v>
      </c>
      <c r="L94" s="30" t="s">
        <v>65</v>
      </c>
      <c r="M94" s="30" t="n">
        <v>1971</v>
      </c>
      <c r="N94" s="30" t="s">
        <v>58</v>
      </c>
      <c r="O94" s="30" t="n">
        <v>5</v>
      </c>
      <c r="P94" s="30" t="n">
        <v>0</v>
      </c>
      <c r="Q94" s="30" t="n">
        <v>4</v>
      </c>
      <c r="R94" s="30" t="n">
        <v>79</v>
      </c>
      <c r="S94" s="30" t="n">
        <v>3398</v>
      </c>
      <c r="T94" s="30" t="n">
        <v>3398</v>
      </c>
      <c r="U94" s="30" t="n">
        <v>3398</v>
      </c>
      <c r="V94" s="30"/>
      <c r="W94" s="30" t="s">
        <v>53</v>
      </c>
      <c r="X94" s="30" t="s">
        <v>53</v>
      </c>
      <c r="Y94" s="30" t="s">
        <v>53</v>
      </c>
      <c r="Z94" s="30" t="s">
        <v>53</v>
      </c>
      <c r="AA94" s="30" t="s">
        <v>53</v>
      </c>
      <c r="AB94" s="30" t="s">
        <v>53</v>
      </c>
      <c r="AC94" s="30" t="s">
        <v>53</v>
      </c>
      <c r="AD94" s="30" t="s">
        <v>53</v>
      </c>
      <c r="AE94" s="30" t="s">
        <v>54</v>
      </c>
      <c r="AF94" s="30" t="n">
        <v>0</v>
      </c>
      <c r="AG94" s="30" t="n">
        <v>0</v>
      </c>
      <c r="AH94" s="30" t="n">
        <v>1</v>
      </c>
      <c r="AI94" s="30" t="n">
        <v>0</v>
      </c>
      <c r="AJ94" s="30" t="n">
        <v>1</v>
      </c>
      <c r="AK94" s="30" t="n">
        <v>0</v>
      </c>
      <c r="AL94" s="26"/>
    </row>
    <row collapsed="false" customFormat="false" customHeight="false" hidden="false" ht="14.5" outlineLevel="0" r="95">
      <c r="A95" s="30" t="n">
        <v>87</v>
      </c>
      <c r="B95" s="30" t="s">
        <v>45</v>
      </c>
      <c r="C95" s="30" t="s">
        <v>59</v>
      </c>
      <c r="D95" s="30" t="s">
        <v>175</v>
      </c>
      <c r="E95" s="30" t="n">
        <v>5</v>
      </c>
      <c r="F95" s="30" t="n">
        <v>1</v>
      </c>
      <c r="G95" s="30"/>
      <c r="H95" s="30" t="s">
        <v>177</v>
      </c>
      <c r="I95" s="30" t="s">
        <v>56</v>
      </c>
      <c r="J95" s="30"/>
      <c r="K95" s="30" t="s">
        <v>101</v>
      </c>
      <c r="L95" s="30" t="s">
        <v>65</v>
      </c>
      <c r="M95" s="30" t="n">
        <v>1981</v>
      </c>
      <c r="N95" s="30" t="s">
        <v>58</v>
      </c>
      <c r="O95" s="30" t="n">
        <v>5</v>
      </c>
      <c r="P95" s="30" t="n">
        <v>0</v>
      </c>
      <c r="Q95" s="30" t="n">
        <v>5</v>
      </c>
      <c r="R95" s="30" t="n">
        <v>80</v>
      </c>
      <c r="S95" s="30" t="n">
        <v>5590.4</v>
      </c>
      <c r="T95" s="30" t="n">
        <v>5590.4</v>
      </c>
      <c r="U95" s="30" t="n">
        <v>4212</v>
      </c>
      <c r="V95" s="30" t="n">
        <v>1378.4</v>
      </c>
      <c r="W95" s="30" t="s">
        <v>53</v>
      </c>
      <c r="X95" s="30" t="s">
        <v>53</v>
      </c>
      <c r="Y95" s="30" t="s">
        <v>53</v>
      </c>
      <c r="Z95" s="30" t="s">
        <v>53</v>
      </c>
      <c r="AA95" s="30" t="s">
        <v>53</v>
      </c>
      <c r="AB95" s="30" t="s">
        <v>53</v>
      </c>
      <c r="AC95" s="30" t="s">
        <v>53</v>
      </c>
      <c r="AD95" s="30" t="s">
        <v>53</v>
      </c>
      <c r="AE95" s="30" t="s">
        <v>54</v>
      </c>
      <c r="AF95" s="30" t="n">
        <v>0</v>
      </c>
      <c r="AG95" s="30" t="n">
        <v>0</v>
      </c>
      <c r="AH95" s="30" t="n">
        <v>1</v>
      </c>
      <c r="AI95" s="30" t="n">
        <v>0</v>
      </c>
      <c r="AJ95" s="30" t="n">
        <v>1</v>
      </c>
      <c r="AK95" s="30" t="n">
        <v>0</v>
      </c>
      <c r="AL95" s="26"/>
    </row>
    <row collapsed="false" customFormat="false" customHeight="false" hidden="false" ht="14.5" outlineLevel="0" r="96">
      <c r="A96" s="30" t="n">
        <v>88</v>
      </c>
      <c r="B96" s="30" t="s">
        <v>45</v>
      </c>
      <c r="C96" s="30" t="s">
        <v>59</v>
      </c>
      <c r="D96" s="30" t="s">
        <v>175</v>
      </c>
      <c r="E96" s="30" t="n">
        <v>5</v>
      </c>
      <c r="F96" s="30" t="n">
        <v>2</v>
      </c>
      <c r="G96" s="30"/>
      <c r="H96" s="30" t="s">
        <v>178</v>
      </c>
      <c r="I96" s="30" t="s">
        <v>56</v>
      </c>
      <c r="J96" s="30"/>
      <c r="K96" s="30" t="s">
        <v>101</v>
      </c>
      <c r="L96" s="30" t="s">
        <v>65</v>
      </c>
      <c r="M96" s="30" t="n">
        <v>1977</v>
      </c>
      <c r="N96" s="30" t="s">
        <v>58</v>
      </c>
      <c r="O96" s="30" t="n">
        <v>5</v>
      </c>
      <c r="P96" s="30" t="n">
        <v>0</v>
      </c>
      <c r="Q96" s="30" t="n">
        <v>4</v>
      </c>
      <c r="R96" s="30" t="n">
        <v>80</v>
      </c>
      <c r="S96" s="30" t="n">
        <v>3462</v>
      </c>
      <c r="T96" s="30" t="n">
        <v>3462</v>
      </c>
      <c r="U96" s="30" t="n">
        <v>3462</v>
      </c>
      <c r="V96" s="30"/>
      <c r="W96" s="30" t="s">
        <v>53</v>
      </c>
      <c r="X96" s="30" t="s">
        <v>53</v>
      </c>
      <c r="Y96" s="30" t="s">
        <v>53</v>
      </c>
      <c r="Z96" s="30" t="s">
        <v>53</v>
      </c>
      <c r="AA96" s="30" t="s">
        <v>53</v>
      </c>
      <c r="AB96" s="30" t="s">
        <v>53</v>
      </c>
      <c r="AC96" s="30" t="s">
        <v>53</v>
      </c>
      <c r="AD96" s="30" t="s">
        <v>53</v>
      </c>
      <c r="AE96" s="30" t="s">
        <v>54</v>
      </c>
      <c r="AF96" s="30" t="n">
        <v>0</v>
      </c>
      <c r="AG96" s="30" t="n">
        <v>0</v>
      </c>
      <c r="AH96" s="30" t="n">
        <v>1</v>
      </c>
      <c r="AI96" s="30" t="n">
        <v>0</v>
      </c>
      <c r="AJ96" s="30" t="n">
        <v>1</v>
      </c>
      <c r="AK96" s="30" t="n">
        <v>0</v>
      </c>
      <c r="AL96" s="26"/>
    </row>
    <row collapsed="false" customFormat="false" customHeight="false" hidden="false" ht="14.5" outlineLevel="0" r="97">
      <c r="A97" s="30" t="n">
        <v>89</v>
      </c>
      <c r="B97" s="30" t="s">
        <v>45</v>
      </c>
      <c r="C97" s="30" t="s">
        <v>59</v>
      </c>
      <c r="D97" s="30" t="s">
        <v>175</v>
      </c>
      <c r="E97" s="30" t="n">
        <v>7</v>
      </c>
      <c r="F97" s="30"/>
      <c r="G97" s="30"/>
      <c r="H97" s="30" t="s">
        <v>179</v>
      </c>
      <c r="I97" s="30" t="s">
        <v>56</v>
      </c>
      <c r="J97" s="30"/>
      <c r="K97" s="30" t="s">
        <v>101</v>
      </c>
      <c r="L97" s="30" t="s">
        <v>65</v>
      </c>
      <c r="M97" s="30" t="n">
        <v>1970</v>
      </c>
      <c r="N97" s="30" t="s">
        <v>58</v>
      </c>
      <c r="O97" s="30" t="n">
        <v>5</v>
      </c>
      <c r="P97" s="30" t="n">
        <v>0</v>
      </c>
      <c r="Q97" s="30" t="n">
        <v>5</v>
      </c>
      <c r="R97" s="30" t="n">
        <v>98</v>
      </c>
      <c r="S97" s="30" t="n">
        <v>4376</v>
      </c>
      <c r="T97" s="30" t="n">
        <v>4376</v>
      </c>
      <c r="U97" s="30" t="n">
        <v>4376</v>
      </c>
      <c r="V97" s="30"/>
      <c r="W97" s="30" t="s">
        <v>53</v>
      </c>
      <c r="X97" s="30" t="s">
        <v>53</v>
      </c>
      <c r="Y97" s="30" t="s">
        <v>53</v>
      </c>
      <c r="Z97" s="30" t="s">
        <v>53</v>
      </c>
      <c r="AA97" s="30" t="s">
        <v>53</v>
      </c>
      <c r="AB97" s="30" t="s">
        <v>53</v>
      </c>
      <c r="AC97" s="30" t="s">
        <v>53</v>
      </c>
      <c r="AD97" s="30" t="s">
        <v>53</v>
      </c>
      <c r="AE97" s="30" t="s">
        <v>54</v>
      </c>
      <c r="AF97" s="30" t="n">
        <v>0</v>
      </c>
      <c r="AG97" s="30" t="n">
        <v>0</v>
      </c>
      <c r="AH97" s="30" t="n">
        <v>1</v>
      </c>
      <c r="AI97" s="30" t="n">
        <v>0</v>
      </c>
      <c r="AJ97" s="30" t="n">
        <v>1</v>
      </c>
      <c r="AK97" s="30" t="n">
        <v>0</v>
      </c>
      <c r="AL97" s="26"/>
    </row>
    <row collapsed="false" customFormat="false" customHeight="false" hidden="false" ht="14.5" outlineLevel="0" r="98">
      <c r="A98" s="30" t="n">
        <v>90</v>
      </c>
      <c r="B98" s="30" t="s">
        <v>45</v>
      </c>
      <c r="C98" s="30" t="s">
        <v>59</v>
      </c>
      <c r="D98" s="30" t="s">
        <v>175</v>
      </c>
      <c r="E98" s="30" t="n">
        <v>9</v>
      </c>
      <c r="F98" s="30"/>
      <c r="G98" s="30"/>
      <c r="H98" s="30" t="s">
        <v>180</v>
      </c>
      <c r="I98" s="30" t="s">
        <v>56</v>
      </c>
      <c r="J98" s="30"/>
      <c r="K98" s="30" t="s">
        <v>101</v>
      </c>
      <c r="L98" s="30" t="s">
        <v>65</v>
      </c>
      <c r="M98" s="30" t="n">
        <v>1970</v>
      </c>
      <c r="N98" s="30" t="s">
        <v>58</v>
      </c>
      <c r="O98" s="30" t="n">
        <v>5</v>
      </c>
      <c r="P98" s="30" t="n">
        <v>0</v>
      </c>
      <c r="Q98" s="30" t="n">
        <v>6</v>
      </c>
      <c r="R98" s="30" t="n">
        <v>119</v>
      </c>
      <c r="S98" s="30" t="n">
        <v>5332</v>
      </c>
      <c r="T98" s="30" t="n">
        <v>5332</v>
      </c>
      <c r="U98" s="30" t="n">
        <v>5332</v>
      </c>
      <c r="V98" s="30"/>
      <c r="W98" s="30" t="s">
        <v>53</v>
      </c>
      <c r="X98" s="30" t="s">
        <v>53</v>
      </c>
      <c r="Y98" s="30" t="s">
        <v>53</v>
      </c>
      <c r="Z98" s="30" t="s">
        <v>53</v>
      </c>
      <c r="AA98" s="30" t="s">
        <v>53</v>
      </c>
      <c r="AB98" s="30" t="s">
        <v>53</v>
      </c>
      <c r="AC98" s="30" t="s">
        <v>53</v>
      </c>
      <c r="AD98" s="30" t="s">
        <v>53</v>
      </c>
      <c r="AE98" s="30" t="s">
        <v>54</v>
      </c>
      <c r="AF98" s="30" t="n">
        <v>0</v>
      </c>
      <c r="AG98" s="30" t="n">
        <v>0</v>
      </c>
      <c r="AH98" s="30" t="n">
        <v>1</v>
      </c>
      <c r="AI98" s="30" t="n">
        <v>0</v>
      </c>
      <c r="AJ98" s="30" t="n">
        <v>1</v>
      </c>
      <c r="AK98" s="30" t="n">
        <v>0</v>
      </c>
      <c r="AL98" s="26"/>
    </row>
    <row collapsed="false" customFormat="false" customHeight="false" hidden="false" ht="14.5" outlineLevel="0" r="99">
      <c r="A99" s="30" t="n">
        <v>91</v>
      </c>
      <c r="B99" s="30" t="s">
        <v>45</v>
      </c>
      <c r="C99" s="30" t="s">
        <v>59</v>
      </c>
      <c r="D99" s="30" t="s">
        <v>175</v>
      </c>
      <c r="E99" s="30" t="n">
        <v>9</v>
      </c>
      <c r="F99" s="30" t="n">
        <v>1</v>
      </c>
      <c r="G99" s="30"/>
      <c r="H99" s="30" t="s">
        <v>181</v>
      </c>
      <c r="I99" s="30" t="s">
        <v>56</v>
      </c>
      <c r="J99" s="30"/>
      <c r="K99" s="30" t="s">
        <v>101</v>
      </c>
      <c r="L99" s="30" t="s">
        <v>65</v>
      </c>
      <c r="M99" s="30" t="n">
        <v>1974</v>
      </c>
      <c r="N99" s="30" t="s">
        <v>58</v>
      </c>
      <c r="O99" s="30" t="n">
        <v>5</v>
      </c>
      <c r="P99" s="30" t="n">
        <v>0</v>
      </c>
      <c r="Q99" s="30" t="n">
        <v>5</v>
      </c>
      <c r="R99" s="30" t="n">
        <v>100</v>
      </c>
      <c r="S99" s="30" t="n">
        <v>4199</v>
      </c>
      <c r="T99" s="30" t="n">
        <v>4199</v>
      </c>
      <c r="U99" s="30" t="n">
        <v>4199</v>
      </c>
      <c r="V99" s="30"/>
      <c r="W99" s="30" t="s">
        <v>53</v>
      </c>
      <c r="X99" s="30" t="s">
        <v>53</v>
      </c>
      <c r="Y99" s="30" t="s">
        <v>53</v>
      </c>
      <c r="Z99" s="30" t="s">
        <v>53</v>
      </c>
      <c r="AA99" s="30" t="s">
        <v>53</v>
      </c>
      <c r="AB99" s="30" t="s">
        <v>53</v>
      </c>
      <c r="AC99" s="30" t="s">
        <v>53</v>
      </c>
      <c r="AD99" s="30" t="s">
        <v>53</v>
      </c>
      <c r="AE99" s="30" t="s">
        <v>54</v>
      </c>
      <c r="AF99" s="30" t="n">
        <v>0</v>
      </c>
      <c r="AG99" s="30" t="n">
        <v>0</v>
      </c>
      <c r="AH99" s="30" t="n">
        <v>1</v>
      </c>
      <c r="AI99" s="30" t="n">
        <v>0</v>
      </c>
      <c r="AJ99" s="30" t="n">
        <v>1</v>
      </c>
      <c r="AK99" s="30" t="n">
        <v>0</v>
      </c>
      <c r="AL99" s="26"/>
    </row>
    <row collapsed="false" customFormat="false" customHeight="false" hidden="false" ht="14.5" outlineLevel="0" r="100">
      <c r="A100" s="30" t="n">
        <v>92</v>
      </c>
      <c r="B100" s="30" t="s">
        <v>45</v>
      </c>
      <c r="C100" s="30" t="s">
        <v>59</v>
      </c>
      <c r="D100" s="30" t="s">
        <v>175</v>
      </c>
      <c r="E100" s="30" t="n">
        <v>9</v>
      </c>
      <c r="F100" s="30" t="n">
        <v>2</v>
      </c>
      <c r="G100" s="30"/>
      <c r="H100" s="30" t="s">
        <v>182</v>
      </c>
      <c r="I100" s="30" t="s">
        <v>56</v>
      </c>
      <c r="J100" s="30"/>
      <c r="K100" s="30" t="s">
        <v>101</v>
      </c>
      <c r="L100" s="30" t="s">
        <v>65</v>
      </c>
      <c r="M100" s="30" t="n">
        <v>1974</v>
      </c>
      <c r="N100" s="30" t="s">
        <v>58</v>
      </c>
      <c r="O100" s="30" t="n">
        <v>5</v>
      </c>
      <c r="P100" s="30" t="n">
        <v>0</v>
      </c>
      <c r="Q100" s="30" t="n">
        <v>4</v>
      </c>
      <c r="R100" s="30" t="n">
        <v>80</v>
      </c>
      <c r="S100" s="30" t="n">
        <v>3469</v>
      </c>
      <c r="T100" s="30" t="n">
        <v>3469</v>
      </c>
      <c r="U100" s="30" t="n">
        <v>3469</v>
      </c>
      <c r="V100" s="30"/>
      <c r="W100" s="30" t="s">
        <v>53</v>
      </c>
      <c r="X100" s="30" t="s">
        <v>53</v>
      </c>
      <c r="Y100" s="30" t="s">
        <v>53</v>
      </c>
      <c r="Z100" s="30" t="s">
        <v>53</v>
      </c>
      <c r="AA100" s="30" t="s">
        <v>53</v>
      </c>
      <c r="AB100" s="30" t="s">
        <v>53</v>
      </c>
      <c r="AC100" s="30" t="s">
        <v>53</v>
      </c>
      <c r="AD100" s="30" t="s">
        <v>53</v>
      </c>
      <c r="AE100" s="30" t="s">
        <v>54</v>
      </c>
      <c r="AF100" s="30" t="n">
        <v>0</v>
      </c>
      <c r="AG100" s="30" t="n">
        <v>0</v>
      </c>
      <c r="AH100" s="30" t="n">
        <v>1</v>
      </c>
      <c r="AI100" s="30" t="n">
        <v>0</v>
      </c>
      <c r="AJ100" s="30" t="n">
        <v>1</v>
      </c>
      <c r="AK100" s="30" t="n">
        <v>0</v>
      </c>
      <c r="AL100" s="26"/>
    </row>
    <row collapsed="false" customFormat="false" customHeight="false" hidden="false" ht="14.5" outlineLevel="0" r="101">
      <c r="A101" s="30" t="n">
        <v>93</v>
      </c>
      <c r="B101" s="30" t="s">
        <v>45</v>
      </c>
      <c r="C101" s="30" t="s">
        <v>59</v>
      </c>
      <c r="D101" s="30" t="s">
        <v>175</v>
      </c>
      <c r="E101" s="30" t="s">
        <v>183</v>
      </c>
      <c r="F101" s="30"/>
      <c r="G101" s="30"/>
      <c r="H101" s="30" t="s">
        <v>184</v>
      </c>
      <c r="I101" s="30" t="s">
        <v>56</v>
      </c>
      <c r="J101" s="30"/>
      <c r="K101" s="30" t="s">
        <v>64</v>
      </c>
      <c r="L101" s="30"/>
      <c r="M101" s="30" t="n">
        <v>1958</v>
      </c>
      <c r="N101" s="30" t="s">
        <v>58</v>
      </c>
      <c r="O101" s="30" t="n">
        <v>3</v>
      </c>
      <c r="P101" s="30" t="n">
        <v>0</v>
      </c>
      <c r="Q101" s="30" t="n">
        <v>3</v>
      </c>
      <c r="R101" s="30" t="n">
        <v>27</v>
      </c>
      <c r="S101" s="30" t="n">
        <v>1468</v>
      </c>
      <c r="T101" s="30" t="n">
        <v>1468</v>
      </c>
      <c r="U101" s="30" t="n">
        <v>1468</v>
      </c>
      <c r="V101" s="30"/>
      <c r="W101" s="30" t="s">
        <v>53</v>
      </c>
      <c r="X101" s="30" t="s">
        <v>53</v>
      </c>
      <c r="Y101" s="30" t="s">
        <v>53</v>
      </c>
      <c r="Z101" s="30" t="s">
        <v>53</v>
      </c>
      <c r="AA101" s="30" t="s">
        <v>53</v>
      </c>
      <c r="AB101" s="30" t="s">
        <v>53</v>
      </c>
      <c r="AC101" s="30" t="s">
        <v>53</v>
      </c>
      <c r="AD101" s="30" t="s">
        <v>53</v>
      </c>
      <c r="AE101" s="30" t="s">
        <v>54</v>
      </c>
      <c r="AF101" s="30" t="n">
        <v>0</v>
      </c>
      <c r="AG101" s="30" t="n">
        <v>0</v>
      </c>
      <c r="AH101" s="30" t="n">
        <v>0</v>
      </c>
      <c r="AI101" s="30" t="n">
        <v>0</v>
      </c>
      <c r="AJ101" s="30" t="n">
        <v>1</v>
      </c>
      <c r="AK101" s="30" t="n">
        <v>0</v>
      </c>
      <c r="AL101" s="26"/>
    </row>
    <row collapsed="false" customFormat="false" customHeight="false" hidden="false" ht="14.5" outlineLevel="0" r="102">
      <c r="A102" s="30" t="n">
        <v>94</v>
      </c>
      <c r="B102" s="30" t="s">
        <v>45</v>
      </c>
      <c r="C102" s="30" t="s">
        <v>59</v>
      </c>
      <c r="D102" s="30" t="s">
        <v>175</v>
      </c>
      <c r="E102" s="30" t="n">
        <v>18</v>
      </c>
      <c r="F102" s="30"/>
      <c r="G102" s="30"/>
      <c r="H102" s="30" t="s">
        <v>185</v>
      </c>
      <c r="I102" s="30" t="s">
        <v>56</v>
      </c>
      <c r="J102" s="30"/>
      <c r="K102" s="30" t="s">
        <v>64</v>
      </c>
      <c r="L102" s="30" t="s">
        <v>65</v>
      </c>
      <c r="M102" s="30" t="n">
        <v>1962</v>
      </c>
      <c r="N102" s="30" t="s">
        <v>58</v>
      </c>
      <c r="O102" s="30" t="n">
        <v>4</v>
      </c>
      <c r="P102" s="30" t="n">
        <v>0</v>
      </c>
      <c r="Q102" s="30" t="n">
        <v>3</v>
      </c>
      <c r="R102" s="30" t="n">
        <v>48</v>
      </c>
      <c r="S102" s="30" t="n">
        <v>2028</v>
      </c>
      <c r="T102" s="30" t="n">
        <v>2028</v>
      </c>
      <c r="U102" s="30" t="n">
        <v>2028</v>
      </c>
      <c r="V102" s="30"/>
      <c r="W102" s="30" t="s">
        <v>53</v>
      </c>
      <c r="X102" s="30" t="s">
        <v>53</v>
      </c>
      <c r="Y102" s="30" t="s">
        <v>53</v>
      </c>
      <c r="Z102" s="30" t="s">
        <v>53</v>
      </c>
      <c r="AA102" s="30" t="s">
        <v>53</v>
      </c>
      <c r="AB102" s="30" t="s">
        <v>53</v>
      </c>
      <c r="AC102" s="30" t="s">
        <v>53</v>
      </c>
      <c r="AD102" s="30" t="s">
        <v>53</v>
      </c>
      <c r="AE102" s="30" t="s">
        <v>54</v>
      </c>
      <c r="AF102" s="30" t="n">
        <v>0</v>
      </c>
      <c r="AG102" s="30" t="n">
        <v>0</v>
      </c>
      <c r="AH102" s="30" t="n">
        <v>0</v>
      </c>
      <c r="AI102" s="30" t="n">
        <v>0</v>
      </c>
      <c r="AJ102" s="30" t="n">
        <v>1</v>
      </c>
      <c r="AK102" s="30" t="n">
        <v>0</v>
      </c>
      <c r="AL102" s="26"/>
    </row>
    <row collapsed="false" customFormat="false" customHeight="false" hidden="false" ht="14.5" outlineLevel="0" r="103">
      <c r="A103" s="30" t="n">
        <v>95</v>
      </c>
      <c r="B103" s="30" t="s">
        <v>45</v>
      </c>
      <c r="C103" s="30" t="s">
        <v>59</v>
      </c>
      <c r="D103" s="30" t="s">
        <v>175</v>
      </c>
      <c r="E103" s="30" t="s">
        <v>186</v>
      </c>
      <c r="F103" s="30"/>
      <c r="G103" s="30"/>
      <c r="H103" s="30" t="s">
        <v>187</v>
      </c>
      <c r="I103" s="30" t="s">
        <v>56</v>
      </c>
      <c r="J103" s="30"/>
      <c r="K103" s="30" t="s">
        <v>64</v>
      </c>
      <c r="L103" s="30"/>
      <c r="M103" s="30" t="n">
        <v>1959</v>
      </c>
      <c r="N103" s="30" t="s">
        <v>58</v>
      </c>
      <c r="O103" s="30" t="n">
        <v>3</v>
      </c>
      <c r="P103" s="30" t="n">
        <v>0</v>
      </c>
      <c r="Q103" s="30" t="n">
        <v>3</v>
      </c>
      <c r="R103" s="30" t="n">
        <v>36</v>
      </c>
      <c r="S103" s="30" t="n">
        <v>1522</v>
      </c>
      <c r="T103" s="30" t="n">
        <v>1522</v>
      </c>
      <c r="U103" s="30" t="n">
        <v>1522</v>
      </c>
      <c r="V103" s="30"/>
      <c r="W103" s="30" t="s">
        <v>53</v>
      </c>
      <c r="X103" s="30" t="s">
        <v>53</v>
      </c>
      <c r="Y103" s="30" t="s">
        <v>53</v>
      </c>
      <c r="Z103" s="30" t="s">
        <v>53</v>
      </c>
      <c r="AA103" s="30" t="s">
        <v>53</v>
      </c>
      <c r="AB103" s="30" t="s">
        <v>53</v>
      </c>
      <c r="AC103" s="30" t="s">
        <v>53</v>
      </c>
      <c r="AD103" s="30" t="s">
        <v>53</v>
      </c>
      <c r="AE103" s="30" t="s">
        <v>54</v>
      </c>
      <c r="AF103" s="30" t="n">
        <v>0</v>
      </c>
      <c r="AG103" s="30" t="n">
        <v>0</v>
      </c>
      <c r="AH103" s="30" t="n">
        <v>1</v>
      </c>
      <c r="AI103" s="30" t="n">
        <v>0</v>
      </c>
      <c r="AJ103" s="30" t="n">
        <v>1</v>
      </c>
      <c r="AK103" s="30" t="n">
        <v>0</v>
      </c>
      <c r="AL103" s="26"/>
    </row>
    <row collapsed="false" customFormat="false" customHeight="false" hidden="false" ht="14.5" outlineLevel="0" r="104">
      <c r="A104" s="30" t="n">
        <v>96</v>
      </c>
      <c r="B104" s="30" t="s">
        <v>45</v>
      </c>
      <c r="C104" s="30" t="s">
        <v>59</v>
      </c>
      <c r="D104" s="30" t="s">
        <v>188</v>
      </c>
      <c r="E104" s="30" t="n">
        <v>4</v>
      </c>
      <c r="F104" s="30"/>
      <c r="G104" s="30"/>
      <c r="H104" s="30" t="s">
        <v>189</v>
      </c>
      <c r="I104" s="30" t="s">
        <v>56</v>
      </c>
      <c r="J104" s="30"/>
      <c r="K104" s="30" t="s">
        <v>64</v>
      </c>
      <c r="L104" s="30" t="s">
        <v>57</v>
      </c>
      <c r="M104" s="30" t="n">
        <v>1962</v>
      </c>
      <c r="N104" s="30" t="s">
        <v>58</v>
      </c>
      <c r="O104" s="30" t="n">
        <v>2</v>
      </c>
      <c r="P104" s="30" t="n">
        <v>0</v>
      </c>
      <c r="Q104" s="30" t="n">
        <v>2</v>
      </c>
      <c r="R104" s="30" t="n">
        <v>16</v>
      </c>
      <c r="S104" s="30" t="n">
        <v>638</v>
      </c>
      <c r="T104" s="30" t="n">
        <v>638</v>
      </c>
      <c r="U104" s="30" t="n">
        <v>638</v>
      </c>
      <c r="V104" s="30"/>
      <c r="W104" s="30" t="s">
        <v>53</v>
      </c>
      <c r="X104" s="30" t="s">
        <v>53</v>
      </c>
      <c r="Y104" s="30" t="s">
        <v>53</v>
      </c>
      <c r="Z104" s="30" t="s">
        <v>53</v>
      </c>
      <c r="AA104" s="30" t="s">
        <v>53</v>
      </c>
      <c r="AB104" s="30" t="s">
        <v>53</v>
      </c>
      <c r="AC104" s="30" t="s">
        <v>53</v>
      </c>
      <c r="AD104" s="30" t="s">
        <v>53</v>
      </c>
      <c r="AE104" s="30" t="s">
        <v>54</v>
      </c>
      <c r="AF104" s="30" t="n">
        <v>0</v>
      </c>
      <c r="AG104" s="30" t="n">
        <v>0</v>
      </c>
      <c r="AH104" s="30" t="n">
        <v>1</v>
      </c>
      <c r="AI104" s="30" t="n">
        <v>0</v>
      </c>
      <c r="AJ104" s="30" t="n">
        <v>0</v>
      </c>
      <c r="AK104" s="30" t="n">
        <v>0</v>
      </c>
      <c r="AL104" s="26"/>
    </row>
    <row collapsed="false" customFormat="true" customHeight="false" hidden="false" ht="14.5" outlineLevel="0" r="105" s="32">
      <c r="A105" s="30" t="n">
        <v>97</v>
      </c>
      <c r="B105" s="30" t="s">
        <v>45</v>
      </c>
      <c r="C105" s="30" t="s">
        <v>46</v>
      </c>
      <c r="D105" s="30" t="s">
        <v>190</v>
      </c>
      <c r="E105" s="30" t="n">
        <v>4</v>
      </c>
      <c r="F105" s="30"/>
      <c r="G105" s="30"/>
      <c r="H105" s="30" t="s">
        <v>191</v>
      </c>
      <c r="I105" s="30" t="s">
        <v>56</v>
      </c>
      <c r="J105" s="30"/>
      <c r="K105" s="30" t="s">
        <v>81</v>
      </c>
      <c r="L105" s="30" t="s">
        <v>51</v>
      </c>
      <c r="M105" s="30" t="n">
        <v>1953</v>
      </c>
      <c r="N105" s="30" t="s">
        <v>58</v>
      </c>
      <c r="O105" s="30" t="n">
        <v>2</v>
      </c>
      <c r="P105" s="30" t="n">
        <v>0</v>
      </c>
      <c r="Q105" s="30" t="n">
        <v>2</v>
      </c>
      <c r="R105" s="30" t="n">
        <v>12</v>
      </c>
      <c r="S105" s="30" t="n">
        <v>618.1</v>
      </c>
      <c r="T105" s="30" t="n">
        <v>618.1</v>
      </c>
      <c r="U105" s="30" t="n">
        <v>618.1</v>
      </c>
      <c r="V105" s="30"/>
      <c r="W105" s="30" t="s">
        <v>53</v>
      </c>
      <c r="X105" s="30" t="s">
        <v>53</v>
      </c>
      <c r="Y105" s="30" t="s">
        <v>54</v>
      </c>
      <c r="Z105" s="30" t="s">
        <v>53</v>
      </c>
      <c r="AA105" s="30" t="s">
        <v>53</v>
      </c>
      <c r="AB105" s="30" t="s">
        <v>53</v>
      </c>
      <c r="AC105" s="30" t="s">
        <v>53</v>
      </c>
      <c r="AD105" s="30" t="s">
        <v>53</v>
      </c>
      <c r="AE105" s="30" t="s">
        <v>54</v>
      </c>
      <c r="AF105" s="30" t="n">
        <v>0</v>
      </c>
      <c r="AG105" s="30" t="n">
        <v>0</v>
      </c>
      <c r="AH105" s="30" t="n">
        <v>1</v>
      </c>
      <c r="AI105" s="30" t="n">
        <v>0</v>
      </c>
      <c r="AJ105" s="30" t="n">
        <v>1</v>
      </c>
      <c r="AK105" s="30" t="n">
        <v>0</v>
      </c>
      <c r="AL105" s="31"/>
    </row>
    <row collapsed="false" customFormat="false" customHeight="false" hidden="false" ht="14.5" outlineLevel="0" r="106">
      <c r="A106" s="30" t="n">
        <v>98</v>
      </c>
      <c r="B106" s="30" t="s">
        <v>45</v>
      </c>
      <c r="C106" s="30" t="s">
        <v>46</v>
      </c>
      <c r="D106" s="30" t="s">
        <v>190</v>
      </c>
      <c r="E106" s="30" t="n">
        <v>12</v>
      </c>
      <c r="F106" s="30"/>
      <c r="G106" s="30"/>
      <c r="H106" s="30" t="s">
        <v>192</v>
      </c>
      <c r="I106" s="30" t="s">
        <v>56</v>
      </c>
      <c r="J106" s="30" t="s">
        <v>86</v>
      </c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26"/>
    </row>
    <row collapsed="false" customFormat="false" customHeight="false" hidden="false" ht="14.5" outlineLevel="0" r="107">
      <c r="A107" s="30" t="n">
        <v>99</v>
      </c>
      <c r="B107" s="30" t="s">
        <v>45</v>
      </c>
      <c r="C107" s="30" t="s">
        <v>46</v>
      </c>
      <c r="D107" s="30" t="s">
        <v>190</v>
      </c>
      <c r="E107" s="30" t="n">
        <v>18</v>
      </c>
      <c r="F107" s="30" t="s">
        <v>67</v>
      </c>
      <c r="G107" s="30"/>
      <c r="H107" s="30" t="s">
        <v>193</v>
      </c>
      <c r="I107" s="30" t="s">
        <v>56</v>
      </c>
      <c r="J107" s="30"/>
      <c r="K107" s="30" t="s">
        <v>64</v>
      </c>
      <c r="L107" s="30" t="s">
        <v>51</v>
      </c>
      <c r="M107" s="30" t="n">
        <v>1961</v>
      </c>
      <c r="N107" s="30" t="s">
        <v>58</v>
      </c>
      <c r="O107" s="30" t="n">
        <v>2</v>
      </c>
      <c r="P107" s="30" t="n">
        <v>0</v>
      </c>
      <c r="Q107" s="30" t="n">
        <v>3</v>
      </c>
      <c r="R107" s="30" t="n">
        <v>24</v>
      </c>
      <c r="S107" s="30" t="n">
        <v>832.3</v>
      </c>
      <c r="T107" s="30" t="n">
        <v>832.3</v>
      </c>
      <c r="U107" s="30" t="n">
        <v>832.3</v>
      </c>
      <c r="V107" s="30"/>
      <c r="W107" s="30" t="s">
        <v>53</v>
      </c>
      <c r="X107" s="30" t="s">
        <v>53</v>
      </c>
      <c r="Y107" s="30" t="s">
        <v>54</v>
      </c>
      <c r="Z107" s="30" t="s">
        <v>53</v>
      </c>
      <c r="AA107" s="30" t="s">
        <v>53</v>
      </c>
      <c r="AB107" s="30" t="s">
        <v>53</v>
      </c>
      <c r="AC107" s="30" t="s">
        <v>53</v>
      </c>
      <c r="AD107" s="30" t="s">
        <v>53</v>
      </c>
      <c r="AE107" s="30" t="s">
        <v>54</v>
      </c>
      <c r="AF107" s="30" t="n">
        <v>0</v>
      </c>
      <c r="AG107" s="30" t="n">
        <v>0</v>
      </c>
      <c r="AH107" s="30" t="n">
        <v>1</v>
      </c>
      <c r="AI107" s="30" t="n">
        <v>0</v>
      </c>
      <c r="AJ107" s="30" t="n">
        <v>1</v>
      </c>
      <c r="AK107" s="30" t="n">
        <v>0</v>
      </c>
      <c r="AL107" s="26"/>
    </row>
    <row collapsed="false" customFormat="false" customHeight="false" hidden="false" ht="14.5" outlineLevel="0" r="108">
      <c r="A108" s="30" t="n">
        <v>100</v>
      </c>
      <c r="B108" s="30" t="s">
        <v>45</v>
      </c>
      <c r="C108" s="30" t="s">
        <v>46</v>
      </c>
      <c r="D108" s="30" t="s">
        <v>190</v>
      </c>
      <c r="E108" s="30" t="s">
        <v>194</v>
      </c>
      <c r="F108" s="30"/>
      <c r="G108" s="30"/>
      <c r="H108" s="30" t="s">
        <v>195</v>
      </c>
      <c r="I108" s="30" t="s">
        <v>56</v>
      </c>
      <c r="J108" s="30"/>
      <c r="K108" s="30" t="s">
        <v>64</v>
      </c>
      <c r="L108" s="30" t="s">
        <v>57</v>
      </c>
      <c r="M108" s="30" t="n">
        <v>1959</v>
      </c>
      <c r="N108" s="30" t="s">
        <v>58</v>
      </c>
      <c r="O108" s="30" t="n">
        <v>2</v>
      </c>
      <c r="P108" s="30" t="n">
        <v>0</v>
      </c>
      <c r="Q108" s="30" t="n">
        <v>2</v>
      </c>
      <c r="R108" s="30" t="n">
        <v>12</v>
      </c>
      <c r="S108" s="30" t="n">
        <v>618.4</v>
      </c>
      <c r="T108" s="30" t="n">
        <v>618.4</v>
      </c>
      <c r="U108" s="30" t="n">
        <v>618.4</v>
      </c>
      <c r="V108" s="30"/>
      <c r="W108" s="30" t="s">
        <v>53</v>
      </c>
      <c r="X108" s="30" t="s">
        <v>53</v>
      </c>
      <c r="Y108" s="30" t="s">
        <v>54</v>
      </c>
      <c r="Z108" s="30" t="s">
        <v>53</v>
      </c>
      <c r="AA108" s="30" t="s">
        <v>53</v>
      </c>
      <c r="AB108" s="30" t="s">
        <v>53</v>
      </c>
      <c r="AC108" s="30" t="s">
        <v>53</v>
      </c>
      <c r="AD108" s="30" t="s">
        <v>53</v>
      </c>
      <c r="AE108" s="30" t="s">
        <v>54</v>
      </c>
      <c r="AF108" s="30" t="n">
        <v>0</v>
      </c>
      <c r="AG108" s="30" t="n">
        <v>0</v>
      </c>
      <c r="AH108" s="30" t="n">
        <v>1</v>
      </c>
      <c r="AI108" s="30" t="n">
        <v>0</v>
      </c>
      <c r="AJ108" s="30" t="n">
        <v>1</v>
      </c>
      <c r="AK108" s="30" t="n">
        <v>0</v>
      </c>
      <c r="AL108" s="26"/>
    </row>
    <row collapsed="false" customFormat="false" customHeight="false" hidden="false" ht="14.5" outlineLevel="0" r="109">
      <c r="A109" s="30" t="n">
        <v>101</v>
      </c>
      <c r="B109" s="30" t="s">
        <v>45</v>
      </c>
      <c r="C109" s="30" t="s">
        <v>46</v>
      </c>
      <c r="D109" s="30" t="s">
        <v>190</v>
      </c>
      <c r="E109" s="30" t="n">
        <v>21</v>
      </c>
      <c r="F109" s="30"/>
      <c r="G109" s="30"/>
      <c r="H109" s="30" t="s">
        <v>196</v>
      </c>
      <c r="I109" s="30" t="s">
        <v>56</v>
      </c>
      <c r="J109" s="30"/>
      <c r="K109" s="30" t="s">
        <v>81</v>
      </c>
      <c r="L109" s="30" t="s">
        <v>51</v>
      </c>
      <c r="M109" s="30" t="n">
        <v>1951</v>
      </c>
      <c r="N109" s="30" t="s">
        <v>58</v>
      </c>
      <c r="O109" s="30" t="n">
        <v>2</v>
      </c>
      <c r="P109" s="30" t="n">
        <v>0</v>
      </c>
      <c r="Q109" s="30" t="n">
        <v>2</v>
      </c>
      <c r="R109" s="30" t="n">
        <v>12</v>
      </c>
      <c r="S109" s="30" t="n">
        <v>849.4</v>
      </c>
      <c r="T109" s="30" t="n">
        <v>849.4</v>
      </c>
      <c r="U109" s="30" t="n">
        <v>849.4</v>
      </c>
      <c r="V109" s="30"/>
      <c r="W109" s="30" t="s">
        <v>53</v>
      </c>
      <c r="X109" s="30" t="s">
        <v>53</v>
      </c>
      <c r="Y109" s="30" t="s">
        <v>53</v>
      </c>
      <c r="Z109" s="30" t="s">
        <v>53</v>
      </c>
      <c r="AA109" s="30" t="s">
        <v>53</v>
      </c>
      <c r="AB109" s="30" t="s">
        <v>53</v>
      </c>
      <c r="AC109" s="30" t="s">
        <v>54</v>
      </c>
      <c r="AD109" s="30" t="s">
        <v>53</v>
      </c>
      <c r="AE109" s="30" t="s">
        <v>54</v>
      </c>
      <c r="AF109" s="30" t="n">
        <v>0</v>
      </c>
      <c r="AG109" s="30" t="n">
        <v>1</v>
      </c>
      <c r="AH109" s="30" t="n">
        <v>1</v>
      </c>
      <c r="AI109" s="30" t="n">
        <v>1</v>
      </c>
      <c r="AJ109" s="30" t="n">
        <v>1</v>
      </c>
      <c r="AK109" s="30" t="n">
        <v>0</v>
      </c>
      <c r="AL109" s="26"/>
    </row>
    <row collapsed="false" customFormat="false" customHeight="false" hidden="false" ht="14.5" outlineLevel="0" r="110">
      <c r="A110" s="30" t="n">
        <v>102</v>
      </c>
      <c r="B110" s="30" t="s">
        <v>45</v>
      </c>
      <c r="C110" s="30" t="s">
        <v>46</v>
      </c>
      <c r="D110" s="30" t="s">
        <v>190</v>
      </c>
      <c r="E110" s="30" t="n">
        <v>22</v>
      </c>
      <c r="F110" s="30"/>
      <c r="G110" s="30"/>
      <c r="H110" s="30" t="s">
        <v>197</v>
      </c>
      <c r="I110" s="30" t="s">
        <v>56</v>
      </c>
      <c r="J110" s="30"/>
      <c r="K110" s="30" t="s">
        <v>64</v>
      </c>
      <c r="L110" s="30" t="s">
        <v>57</v>
      </c>
      <c r="M110" s="30" t="n">
        <v>1962</v>
      </c>
      <c r="N110" s="30" t="s">
        <v>58</v>
      </c>
      <c r="O110" s="30" t="n">
        <v>3</v>
      </c>
      <c r="P110" s="30" t="n">
        <v>0</v>
      </c>
      <c r="Q110" s="30" t="n">
        <v>2</v>
      </c>
      <c r="R110" s="30" t="n">
        <v>24</v>
      </c>
      <c r="S110" s="30" t="n">
        <v>952.7</v>
      </c>
      <c r="T110" s="30" t="n">
        <v>952.7</v>
      </c>
      <c r="U110" s="30" t="n">
        <v>952.7</v>
      </c>
      <c r="V110" s="30"/>
      <c r="W110" s="30" t="s">
        <v>53</v>
      </c>
      <c r="X110" s="30" t="s">
        <v>53</v>
      </c>
      <c r="Y110" s="30" t="s">
        <v>54</v>
      </c>
      <c r="Z110" s="30" t="s">
        <v>53</v>
      </c>
      <c r="AA110" s="30" t="s">
        <v>53</v>
      </c>
      <c r="AB110" s="30" t="s">
        <v>53</v>
      </c>
      <c r="AC110" s="30" t="s">
        <v>53</v>
      </c>
      <c r="AD110" s="30" t="s">
        <v>53</v>
      </c>
      <c r="AE110" s="30" t="s">
        <v>54</v>
      </c>
      <c r="AF110" s="30" t="n">
        <v>0</v>
      </c>
      <c r="AG110" s="30" t="n">
        <v>0</v>
      </c>
      <c r="AH110" s="30" t="n">
        <v>1</v>
      </c>
      <c r="AI110" s="30" t="n">
        <v>0</v>
      </c>
      <c r="AJ110" s="30" t="n">
        <v>1</v>
      </c>
      <c r="AK110" s="30" t="n">
        <v>0</v>
      </c>
      <c r="AL110" s="26"/>
    </row>
    <row collapsed="false" customFormat="false" customHeight="false" hidden="false" ht="14.5" outlineLevel="0" r="111">
      <c r="A111" s="30" t="n">
        <v>103</v>
      </c>
      <c r="B111" s="30" t="s">
        <v>45</v>
      </c>
      <c r="C111" s="30" t="s">
        <v>46</v>
      </c>
      <c r="D111" s="30" t="s">
        <v>190</v>
      </c>
      <c r="E111" s="30" t="n">
        <v>23</v>
      </c>
      <c r="F111" s="30"/>
      <c r="G111" s="30"/>
      <c r="H111" s="30" t="s">
        <v>198</v>
      </c>
      <c r="I111" s="30" t="s">
        <v>56</v>
      </c>
      <c r="J111" s="30"/>
      <c r="K111" s="30" t="s">
        <v>64</v>
      </c>
      <c r="L111" s="30" t="s">
        <v>57</v>
      </c>
      <c r="M111" s="30" t="n">
        <v>1959</v>
      </c>
      <c r="N111" s="30" t="s">
        <v>58</v>
      </c>
      <c r="O111" s="30" t="n">
        <v>2</v>
      </c>
      <c r="P111" s="30" t="n">
        <v>0</v>
      </c>
      <c r="Q111" s="30" t="n">
        <v>2</v>
      </c>
      <c r="R111" s="30" t="n">
        <v>12</v>
      </c>
      <c r="S111" s="30" t="n">
        <v>597.2</v>
      </c>
      <c r="T111" s="30" t="n">
        <v>597.2</v>
      </c>
      <c r="U111" s="30" t="n">
        <v>597.2</v>
      </c>
      <c r="V111" s="30"/>
      <c r="W111" s="30" t="s">
        <v>53</v>
      </c>
      <c r="X111" s="30" t="s">
        <v>53</v>
      </c>
      <c r="Y111" s="30" t="s">
        <v>53</v>
      </c>
      <c r="Z111" s="30" t="s">
        <v>53</v>
      </c>
      <c r="AA111" s="30" t="s">
        <v>53</v>
      </c>
      <c r="AB111" s="30" t="s">
        <v>53</v>
      </c>
      <c r="AC111" s="30" t="s">
        <v>54</v>
      </c>
      <c r="AD111" s="30" t="s">
        <v>53</v>
      </c>
      <c r="AE111" s="30" t="s">
        <v>54</v>
      </c>
      <c r="AF111" s="30" t="n">
        <v>0</v>
      </c>
      <c r="AG111" s="30" t="n">
        <v>1</v>
      </c>
      <c r="AH111" s="30" t="n">
        <v>1</v>
      </c>
      <c r="AI111" s="30" t="n">
        <v>1</v>
      </c>
      <c r="AJ111" s="30" t="n">
        <v>1</v>
      </c>
      <c r="AK111" s="30" t="n">
        <v>0</v>
      </c>
      <c r="AL111" s="26"/>
    </row>
    <row collapsed="false" customFormat="false" customHeight="false" hidden="false" ht="14.5" outlineLevel="0" r="112">
      <c r="A112" s="30" t="n">
        <v>104</v>
      </c>
      <c r="B112" s="30" t="s">
        <v>45</v>
      </c>
      <c r="C112" s="30" t="s">
        <v>46</v>
      </c>
      <c r="D112" s="30" t="s">
        <v>190</v>
      </c>
      <c r="E112" s="30" t="n">
        <v>24</v>
      </c>
      <c r="F112" s="30"/>
      <c r="G112" s="30"/>
      <c r="H112" s="30" t="s">
        <v>199</v>
      </c>
      <c r="I112" s="30" t="s">
        <v>56</v>
      </c>
      <c r="J112" s="30"/>
      <c r="K112" s="30" t="s">
        <v>64</v>
      </c>
      <c r="L112" s="30" t="s">
        <v>57</v>
      </c>
      <c r="M112" s="30" t="n">
        <v>1961</v>
      </c>
      <c r="N112" s="30" t="s">
        <v>58</v>
      </c>
      <c r="O112" s="30" t="n">
        <v>3</v>
      </c>
      <c r="P112" s="30" t="n">
        <v>0</v>
      </c>
      <c r="Q112" s="30" t="n">
        <v>2</v>
      </c>
      <c r="R112" s="30" t="n">
        <v>17</v>
      </c>
      <c r="S112" s="30" t="n">
        <v>769</v>
      </c>
      <c r="T112" s="30" t="n">
        <v>769</v>
      </c>
      <c r="U112" s="30" t="n">
        <v>719.3</v>
      </c>
      <c r="V112" s="30"/>
      <c r="W112" s="30" t="s">
        <v>53</v>
      </c>
      <c r="X112" s="30" t="s">
        <v>53</v>
      </c>
      <c r="Y112" s="30" t="s">
        <v>54</v>
      </c>
      <c r="Z112" s="30" t="s">
        <v>53</v>
      </c>
      <c r="AA112" s="30" t="s">
        <v>53</v>
      </c>
      <c r="AB112" s="30" t="s">
        <v>53</v>
      </c>
      <c r="AC112" s="30" t="s">
        <v>53</v>
      </c>
      <c r="AD112" s="30" t="s">
        <v>53</v>
      </c>
      <c r="AE112" s="30" t="s">
        <v>54</v>
      </c>
      <c r="AF112" s="30" t="n">
        <v>0</v>
      </c>
      <c r="AG112" s="30" t="n">
        <v>0</v>
      </c>
      <c r="AH112" s="30" t="n">
        <v>1</v>
      </c>
      <c r="AI112" s="30" t="n">
        <v>0</v>
      </c>
      <c r="AJ112" s="30" t="n">
        <v>1</v>
      </c>
      <c r="AK112" s="30" t="n">
        <v>0</v>
      </c>
      <c r="AL112" s="26"/>
    </row>
    <row collapsed="false" customFormat="false" customHeight="false" hidden="false" ht="14.5" outlineLevel="0" r="113">
      <c r="A113" s="30" t="n">
        <v>105</v>
      </c>
      <c r="B113" s="30" t="s">
        <v>45</v>
      </c>
      <c r="C113" s="30" t="s">
        <v>46</v>
      </c>
      <c r="D113" s="30" t="s">
        <v>190</v>
      </c>
      <c r="E113" s="30" t="n">
        <v>25</v>
      </c>
      <c r="F113" s="30"/>
      <c r="G113" s="30"/>
      <c r="H113" s="30" t="s">
        <v>200</v>
      </c>
      <c r="I113" s="30" t="s">
        <v>56</v>
      </c>
      <c r="J113" s="30"/>
      <c r="K113" s="30" t="s">
        <v>101</v>
      </c>
      <c r="L113" s="30" t="s">
        <v>65</v>
      </c>
      <c r="M113" s="30" t="n">
        <v>1971</v>
      </c>
      <c r="N113" s="30" t="s">
        <v>58</v>
      </c>
      <c r="O113" s="30" t="n">
        <v>5</v>
      </c>
      <c r="P113" s="30" t="n">
        <v>0</v>
      </c>
      <c r="Q113" s="30" t="n">
        <v>4</v>
      </c>
      <c r="R113" s="30" t="n">
        <v>68</v>
      </c>
      <c r="S113" s="30" t="n">
        <v>3688.9</v>
      </c>
      <c r="T113" s="30" t="n">
        <v>3688.9</v>
      </c>
      <c r="U113" s="30" t="n">
        <v>3113.8</v>
      </c>
      <c r="V113" s="30" t="n">
        <v>575.1</v>
      </c>
      <c r="W113" s="30" t="s">
        <v>53</v>
      </c>
      <c r="X113" s="30" t="s">
        <v>53</v>
      </c>
      <c r="Y113" s="30" t="s">
        <v>53</v>
      </c>
      <c r="Z113" s="30" t="s">
        <v>53</v>
      </c>
      <c r="AA113" s="30" t="s">
        <v>53</v>
      </c>
      <c r="AB113" s="30" t="s">
        <v>53</v>
      </c>
      <c r="AC113" s="30" t="s">
        <v>54</v>
      </c>
      <c r="AD113" s="30" t="s">
        <v>53</v>
      </c>
      <c r="AE113" s="30" t="s">
        <v>54</v>
      </c>
      <c r="AF113" s="30" t="n">
        <v>0</v>
      </c>
      <c r="AG113" s="30" t="n">
        <v>0</v>
      </c>
      <c r="AH113" s="30" t="n">
        <v>1</v>
      </c>
      <c r="AI113" s="30" t="n">
        <v>1</v>
      </c>
      <c r="AJ113" s="30" t="n">
        <v>1</v>
      </c>
      <c r="AK113" s="30" t="n">
        <v>0</v>
      </c>
      <c r="AL113" s="26"/>
    </row>
    <row collapsed="false" customFormat="false" customHeight="false" hidden="false" ht="14.5" outlineLevel="0" r="114">
      <c r="A114" s="30" t="n">
        <v>106</v>
      </c>
      <c r="B114" s="30" t="s">
        <v>45</v>
      </c>
      <c r="C114" s="30" t="s">
        <v>46</v>
      </c>
      <c r="D114" s="30" t="s">
        <v>190</v>
      </c>
      <c r="E114" s="30" t="n">
        <v>26</v>
      </c>
      <c r="F114" s="30"/>
      <c r="G114" s="30"/>
      <c r="H114" s="30" t="s">
        <v>201</v>
      </c>
      <c r="I114" s="30" t="s">
        <v>56</v>
      </c>
      <c r="J114" s="30"/>
      <c r="K114" s="30" t="s">
        <v>64</v>
      </c>
      <c r="L114" s="30" t="s">
        <v>57</v>
      </c>
      <c r="M114" s="30" t="n">
        <v>1961</v>
      </c>
      <c r="N114" s="30" t="s">
        <v>58</v>
      </c>
      <c r="O114" s="30" t="n">
        <v>3</v>
      </c>
      <c r="P114" s="30" t="n">
        <v>0</v>
      </c>
      <c r="Q114" s="30" t="n">
        <v>2</v>
      </c>
      <c r="R114" s="30" t="n">
        <v>17</v>
      </c>
      <c r="S114" s="30" t="n">
        <v>777.3</v>
      </c>
      <c r="T114" s="30" t="n">
        <v>777.3</v>
      </c>
      <c r="U114" s="30" t="n">
        <v>722.1</v>
      </c>
      <c r="V114" s="30" t="n">
        <v>55.2</v>
      </c>
      <c r="W114" s="30" t="s">
        <v>53</v>
      </c>
      <c r="X114" s="30" t="s">
        <v>53</v>
      </c>
      <c r="Y114" s="30" t="s">
        <v>54</v>
      </c>
      <c r="Z114" s="30" t="s">
        <v>53</v>
      </c>
      <c r="AA114" s="30" t="s">
        <v>53</v>
      </c>
      <c r="AB114" s="30" t="s">
        <v>53</v>
      </c>
      <c r="AC114" s="30" t="s">
        <v>53</v>
      </c>
      <c r="AD114" s="30" t="s">
        <v>53</v>
      </c>
      <c r="AE114" s="30" t="s">
        <v>54</v>
      </c>
      <c r="AF114" s="30" t="n">
        <v>0</v>
      </c>
      <c r="AG114" s="30" t="n">
        <v>0</v>
      </c>
      <c r="AH114" s="30" t="n">
        <v>1</v>
      </c>
      <c r="AI114" s="30" t="n">
        <v>0</v>
      </c>
      <c r="AJ114" s="30" t="n">
        <v>1</v>
      </c>
      <c r="AK114" s="30" t="n">
        <v>0</v>
      </c>
      <c r="AL114" s="26"/>
    </row>
    <row collapsed="false" customFormat="false" customHeight="false" hidden="false" ht="14.5" outlineLevel="0" r="115">
      <c r="A115" s="30" t="n">
        <v>107</v>
      </c>
      <c r="B115" s="30" t="s">
        <v>45</v>
      </c>
      <c r="C115" s="30" t="s">
        <v>46</v>
      </c>
      <c r="D115" s="30" t="s">
        <v>190</v>
      </c>
      <c r="E115" s="30" t="n">
        <v>26</v>
      </c>
      <c r="F115" s="30" t="s">
        <v>67</v>
      </c>
      <c r="G115" s="30"/>
      <c r="H115" s="30" t="s">
        <v>202</v>
      </c>
      <c r="I115" s="30" t="s">
        <v>56</v>
      </c>
      <c r="J115" s="30"/>
      <c r="K115" s="30" t="s">
        <v>64</v>
      </c>
      <c r="L115" s="30" t="s">
        <v>51</v>
      </c>
      <c r="M115" s="30" t="n">
        <v>1962</v>
      </c>
      <c r="N115" s="30" t="s">
        <v>58</v>
      </c>
      <c r="O115" s="30" t="n">
        <v>4</v>
      </c>
      <c r="P115" s="30" t="n">
        <v>0</v>
      </c>
      <c r="Q115" s="30" t="n">
        <v>2</v>
      </c>
      <c r="R115" s="30" t="n">
        <v>32</v>
      </c>
      <c r="S115" s="30" t="n">
        <v>1254.7</v>
      </c>
      <c r="T115" s="30" t="n">
        <v>1254.7</v>
      </c>
      <c r="U115" s="30" t="n">
        <v>1254.7</v>
      </c>
      <c r="V115" s="30"/>
      <c r="W115" s="30" t="s">
        <v>53</v>
      </c>
      <c r="X115" s="30" t="s">
        <v>53</v>
      </c>
      <c r="Y115" s="30" t="s">
        <v>54</v>
      </c>
      <c r="Z115" s="30" t="s">
        <v>53</v>
      </c>
      <c r="AA115" s="30" t="s">
        <v>53</v>
      </c>
      <c r="AB115" s="30" t="s">
        <v>53</v>
      </c>
      <c r="AC115" s="30" t="s">
        <v>53</v>
      </c>
      <c r="AD115" s="30" t="s">
        <v>53</v>
      </c>
      <c r="AE115" s="30" t="s">
        <v>54</v>
      </c>
      <c r="AF115" s="30" t="n">
        <v>0</v>
      </c>
      <c r="AG115" s="30" t="n">
        <v>0</v>
      </c>
      <c r="AH115" s="30" t="n">
        <v>1</v>
      </c>
      <c r="AI115" s="30" t="n">
        <v>0</v>
      </c>
      <c r="AJ115" s="30" t="n">
        <v>1</v>
      </c>
      <c r="AK115" s="30" t="n">
        <v>0</v>
      </c>
      <c r="AL115" s="26"/>
    </row>
    <row collapsed="false" customFormat="false" customHeight="false" hidden="false" ht="14.5" outlineLevel="0" r="116">
      <c r="A116" s="30" t="n">
        <v>108</v>
      </c>
      <c r="B116" s="30" t="s">
        <v>45</v>
      </c>
      <c r="C116" s="30" t="s">
        <v>46</v>
      </c>
      <c r="D116" s="30" t="s">
        <v>190</v>
      </c>
      <c r="E116" s="30" t="n">
        <v>26</v>
      </c>
      <c r="F116" s="30" t="s">
        <v>69</v>
      </c>
      <c r="G116" s="30"/>
      <c r="H116" s="30" t="s">
        <v>203</v>
      </c>
      <c r="I116" s="30" t="s">
        <v>56</v>
      </c>
      <c r="J116" s="30"/>
      <c r="K116" s="30" t="s">
        <v>64</v>
      </c>
      <c r="L116" s="30" t="s">
        <v>51</v>
      </c>
      <c r="M116" s="30" t="n">
        <v>1962</v>
      </c>
      <c r="N116" s="30" t="s">
        <v>58</v>
      </c>
      <c r="O116" s="30" t="n">
        <v>3</v>
      </c>
      <c r="P116" s="30" t="n">
        <v>0</v>
      </c>
      <c r="Q116" s="30" t="n">
        <v>2</v>
      </c>
      <c r="R116" s="30" t="n">
        <v>24</v>
      </c>
      <c r="S116" s="30" t="n">
        <v>963.7</v>
      </c>
      <c r="T116" s="30" t="n">
        <v>963.7</v>
      </c>
      <c r="U116" s="30" t="n">
        <v>963.7</v>
      </c>
      <c r="V116" s="30"/>
      <c r="W116" s="30" t="s">
        <v>53</v>
      </c>
      <c r="X116" s="30" t="s">
        <v>53</v>
      </c>
      <c r="Y116" s="30" t="s">
        <v>54</v>
      </c>
      <c r="Z116" s="30" t="s">
        <v>53</v>
      </c>
      <c r="AA116" s="30" t="s">
        <v>53</v>
      </c>
      <c r="AB116" s="30" t="s">
        <v>53</v>
      </c>
      <c r="AC116" s="30" t="s">
        <v>53</v>
      </c>
      <c r="AD116" s="30" t="s">
        <v>53</v>
      </c>
      <c r="AE116" s="30" t="s">
        <v>54</v>
      </c>
      <c r="AF116" s="30" t="n">
        <v>0</v>
      </c>
      <c r="AG116" s="30" t="n">
        <v>0</v>
      </c>
      <c r="AH116" s="30" t="n">
        <v>1</v>
      </c>
      <c r="AI116" s="30" t="n">
        <v>0</v>
      </c>
      <c r="AJ116" s="30" t="n">
        <v>1</v>
      </c>
      <c r="AK116" s="30" t="n">
        <v>0</v>
      </c>
      <c r="AL116" s="26"/>
    </row>
    <row collapsed="false" customFormat="false" customHeight="false" hidden="false" ht="14.5" outlineLevel="0" r="117">
      <c r="A117" s="30" t="n">
        <v>109</v>
      </c>
      <c r="B117" s="30" t="s">
        <v>45</v>
      </c>
      <c r="C117" s="30" t="s">
        <v>46</v>
      </c>
      <c r="D117" s="30" t="s">
        <v>190</v>
      </c>
      <c r="E117" s="30" t="n">
        <v>27</v>
      </c>
      <c r="F117" s="30"/>
      <c r="G117" s="30"/>
      <c r="H117" s="30" t="s">
        <v>204</v>
      </c>
      <c r="I117" s="30" t="s">
        <v>56</v>
      </c>
      <c r="J117" s="30"/>
      <c r="K117" s="30" t="s">
        <v>101</v>
      </c>
      <c r="L117" s="30" t="s">
        <v>65</v>
      </c>
      <c r="M117" s="30" t="n">
        <v>1972</v>
      </c>
      <c r="N117" s="30" t="s">
        <v>58</v>
      </c>
      <c r="O117" s="30" t="n">
        <v>5</v>
      </c>
      <c r="P117" s="30" t="n">
        <v>0</v>
      </c>
      <c r="Q117" s="30" t="n">
        <v>4</v>
      </c>
      <c r="R117" s="30" t="n">
        <v>72</v>
      </c>
      <c r="S117" s="30" t="n">
        <v>3868.4</v>
      </c>
      <c r="T117" s="30" t="n">
        <v>3868.4</v>
      </c>
      <c r="U117" s="30" t="n">
        <v>3165</v>
      </c>
      <c r="V117" s="30" t="n">
        <v>703.4</v>
      </c>
      <c r="W117" s="30" t="s">
        <v>53</v>
      </c>
      <c r="X117" s="30" t="s">
        <v>53</v>
      </c>
      <c r="Y117" s="30" t="s">
        <v>53</v>
      </c>
      <c r="Z117" s="30" t="s">
        <v>53</v>
      </c>
      <c r="AA117" s="30" t="s">
        <v>53</v>
      </c>
      <c r="AB117" s="30" t="s">
        <v>53</v>
      </c>
      <c r="AC117" s="30" t="s">
        <v>54</v>
      </c>
      <c r="AD117" s="30" t="s">
        <v>53</v>
      </c>
      <c r="AE117" s="30" t="s">
        <v>54</v>
      </c>
      <c r="AF117" s="30" t="n">
        <v>0</v>
      </c>
      <c r="AG117" s="30" t="n">
        <v>0</v>
      </c>
      <c r="AH117" s="30" t="n">
        <v>1</v>
      </c>
      <c r="AI117" s="30" t="n">
        <v>1</v>
      </c>
      <c r="AJ117" s="30" t="n">
        <v>1</v>
      </c>
      <c r="AK117" s="30" t="n">
        <v>0</v>
      </c>
      <c r="AL117" s="26"/>
    </row>
    <row collapsed="false" customFormat="false" customHeight="false" hidden="false" ht="14.5" outlineLevel="0" r="118">
      <c r="A118" s="30" t="n">
        <v>110</v>
      </c>
      <c r="B118" s="30" t="s">
        <v>45</v>
      </c>
      <c r="C118" s="30" t="s">
        <v>46</v>
      </c>
      <c r="D118" s="30" t="s">
        <v>190</v>
      </c>
      <c r="E118" s="30" t="n">
        <v>30</v>
      </c>
      <c r="F118" s="30"/>
      <c r="G118" s="30"/>
      <c r="H118" s="30" t="s">
        <v>205</v>
      </c>
      <c r="I118" s="30" t="s">
        <v>56</v>
      </c>
      <c r="J118" s="30"/>
      <c r="K118" s="30" t="s">
        <v>64</v>
      </c>
      <c r="L118" s="30" t="s">
        <v>57</v>
      </c>
      <c r="M118" s="30" t="n">
        <v>1970</v>
      </c>
      <c r="N118" s="30" t="s">
        <v>108</v>
      </c>
      <c r="O118" s="30" t="n">
        <v>5</v>
      </c>
      <c r="P118" s="30" t="n">
        <v>0</v>
      </c>
      <c r="Q118" s="30" t="n">
        <v>4</v>
      </c>
      <c r="R118" s="30" t="n">
        <v>60</v>
      </c>
      <c r="S118" s="30" t="n">
        <v>2786.5</v>
      </c>
      <c r="T118" s="30" t="n">
        <v>2786.5</v>
      </c>
      <c r="U118" s="30" t="n">
        <v>2786.5</v>
      </c>
      <c r="V118" s="30"/>
      <c r="W118" s="30" t="s">
        <v>53</v>
      </c>
      <c r="X118" s="30" t="s">
        <v>53</v>
      </c>
      <c r="Y118" s="30" t="s">
        <v>54</v>
      </c>
      <c r="Z118" s="30" t="s">
        <v>53</v>
      </c>
      <c r="AA118" s="30" t="s">
        <v>53</v>
      </c>
      <c r="AB118" s="30" t="s">
        <v>53</v>
      </c>
      <c r="AC118" s="30" t="s">
        <v>53</v>
      </c>
      <c r="AD118" s="30" t="s">
        <v>53</v>
      </c>
      <c r="AE118" s="30" t="s">
        <v>54</v>
      </c>
      <c r="AF118" s="30" t="n">
        <v>0</v>
      </c>
      <c r="AG118" s="30" t="n">
        <v>0</v>
      </c>
      <c r="AH118" s="30" t="n">
        <v>1</v>
      </c>
      <c r="AI118" s="30" t="n">
        <v>0</v>
      </c>
      <c r="AJ118" s="30" t="n">
        <v>1</v>
      </c>
      <c r="AK118" s="30" t="n">
        <v>0</v>
      </c>
      <c r="AL118" s="26"/>
    </row>
    <row collapsed="false" customFormat="false" customHeight="false" hidden="false" ht="14.5" outlineLevel="0" r="119">
      <c r="A119" s="30" t="n">
        <v>111</v>
      </c>
      <c r="B119" s="30" t="s">
        <v>45</v>
      </c>
      <c r="C119" s="30" t="s">
        <v>206</v>
      </c>
      <c r="D119" s="30" t="s">
        <v>207</v>
      </c>
      <c r="E119" s="30" t="n">
        <v>2</v>
      </c>
      <c r="F119" s="30"/>
      <c r="G119" s="30"/>
      <c r="H119" s="30" t="s">
        <v>208</v>
      </c>
      <c r="I119" s="30" t="s">
        <v>56</v>
      </c>
      <c r="J119" s="30"/>
      <c r="K119" s="30" t="s">
        <v>64</v>
      </c>
      <c r="L119" s="30"/>
      <c r="M119" s="30" t="n">
        <v>1959</v>
      </c>
      <c r="N119" s="30" t="s">
        <v>58</v>
      </c>
      <c r="O119" s="30" t="n">
        <v>2</v>
      </c>
      <c r="P119" s="30" t="n">
        <v>0</v>
      </c>
      <c r="Q119" s="30" t="n">
        <v>2</v>
      </c>
      <c r="R119" s="30" t="n">
        <v>12</v>
      </c>
      <c r="S119" s="30" t="n">
        <v>731.2</v>
      </c>
      <c r="T119" s="30" t="n">
        <v>731.2</v>
      </c>
      <c r="U119" s="30" t="n">
        <v>731.2</v>
      </c>
      <c r="V119" s="30"/>
      <c r="W119" s="30" t="s">
        <v>54</v>
      </c>
      <c r="X119" s="30" t="s">
        <v>53</v>
      </c>
      <c r="Y119" s="30" t="s">
        <v>54</v>
      </c>
      <c r="Z119" s="30" t="s">
        <v>53</v>
      </c>
      <c r="AA119" s="30" t="s">
        <v>53</v>
      </c>
      <c r="AB119" s="30" t="s">
        <v>53</v>
      </c>
      <c r="AC119" s="30" t="s">
        <v>53</v>
      </c>
      <c r="AD119" s="30" t="s">
        <v>53</v>
      </c>
      <c r="AE119" s="30" t="s">
        <v>54</v>
      </c>
      <c r="AF119" s="30" t="n">
        <v>0</v>
      </c>
      <c r="AG119" s="30" t="n">
        <v>0</v>
      </c>
      <c r="AH119" s="30" t="n">
        <v>1</v>
      </c>
      <c r="AI119" s="30" t="n">
        <v>0</v>
      </c>
      <c r="AJ119" s="30" t="n">
        <v>1</v>
      </c>
      <c r="AK119" s="30" t="n">
        <v>0</v>
      </c>
      <c r="AL119" s="26"/>
    </row>
    <row collapsed="false" customFormat="true" customHeight="false" hidden="false" ht="14.5" outlineLevel="0" r="120" s="2">
      <c r="A120" s="30" t="n">
        <v>112</v>
      </c>
      <c r="B120" s="30" t="s">
        <v>45</v>
      </c>
      <c r="C120" s="30" t="s">
        <v>206</v>
      </c>
      <c r="D120" s="30" t="s">
        <v>207</v>
      </c>
      <c r="E120" s="30" t="n">
        <v>2</v>
      </c>
      <c r="F120" s="30" t="s">
        <v>67</v>
      </c>
      <c r="G120" s="30"/>
      <c r="H120" s="30" t="s">
        <v>209</v>
      </c>
      <c r="I120" s="30" t="s">
        <v>56</v>
      </c>
      <c r="J120" s="30"/>
      <c r="K120" s="30" t="s">
        <v>64</v>
      </c>
      <c r="L120" s="30"/>
      <c r="M120" s="30" t="n">
        <v>1958</v>
      </c>
      <c r="N120" s="30" t="s">
        <v>58</v>
      </c>
      <c r="O120" s="30" t="n">
        <v>2</v>
      </c>
      <c r="P120" s="30" t="n">
        <v>0</v>
      </c>
      <c r="Q120" s="30" t="n">
        <v>2</v>
      </c>
      <c r="R120" s="30" t="n">
        <v>12</v>
      </c>
      <c r="S120" s="30" t="n">
        <v>736.9</v>
      </c>
      <c r="T120" s="30" t="n">
        <v>736.9</v>
      </c>
      <c r="U120" s="30" t="n">
        <v>736.9</v>
      </c>
      <c r="V120" s="30"/>
      <c r="W120" s="30" t="s">
        <v>54</v>
      </c>
      <c r="X120" s="30" t="s">
        <v>53</v>
      </c>
      <c r="Y120" s="30" t="s">
        <v>54</v>
      </c>
      <c r="Z120" s="30" t="s">
        <v>53</v>
      </c>
      <c r="AA120" s="30" t="s">
        <v>53</v>
      </c>
      <c r="AB120" s="30" t="s">
        <v>53</v>
      </c>
      <c r="AC120" s="30" t="s">
        <v>53</v>
      </c>
      <c r="AD120" s="30" t="s">
        <v>53</v>
      </c>
      <c r="AE120" s="30" t="s">
        <v>54</v>
      </c>
      <c r="AF120" s="30" t="n">
        <v>0</v>
      </c>
      <c r="AG120" s="30" t="n">
        <v>0</v>
      </c>
      <c r="AH120" s="30" t="n">
        <v>1</v>
      </c>
      <c r="AI120" s="30" t="n">
        <v>0</v>
      </c>
      <c r="AJ120" s="30" t="n">
        <v>1</v>
      </c>
      <c r="AK120" s="30" t="n">
        <v>0</v>
      </c>
      <c r="AL120" s="31"/>
    </row>
    <row collapsed="false" customFormat="false" customHeight="false" hidden="false" ht="14.5" outlineLevel="0" r="121">
      <c r="A121" s="30" t="n">
        <v>113</v>
      </c>
      <c r="B121" s="30" t="s">
        <v>45</v>
      </c>
      <c r="C121" s="30" t="s">
        <v>210</v>
      </c>
      <c r="D121" s="30" t="s">
        <v>207</v>
      </c>
      <c r="E121" s="30" t="n">
        <v>2</v>
      </c>
      <c r="F121" s="30" t="s">
        <v>69</v>
      </c>
      <c r="G121" s="30"/>
      <c r="H121" s="30" t="s">
        <v>211</v>
      </c>
      <c r="I121" s="30" t="s">
        <v>56</v>
      </c>
      <c r="J121" s="30"/>
      <c r="K121" s="30"/>
      <c r="L121" s="30"/>
      <c r="M121" s="30"/>
      <c r="N121" s="30"/>
      <c r="O121" s="30"/>
      <c r="P121" s="30"/>
      <c r="Q121" s="30"/>
      <c r="R121" s="30"/>
      <c r="S121" s="30" t="n">
        <v>494</v>
      </c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26"/>
    </row>
    <row collapsed="false" customFormat="false" customHeight="false" hidden="false" ht="14.5" outlineLevel="0" r="122">
      <c r="A122" s="30" t="n">
        <v>114</v>
      </c>
      <c r="B122" s="30" t="s">
        <v>45</v>
      </c>
      <c r="C122" s="30" t="s">
        <v>206</v>
      </c>
      <c r="D122" s="30" t="s">
        <v>207</v>
      </c>
      <c r="E122" s="30" t="n">
        <v>4</v>
      </c>
      <c r="F122" s="30"/>
      <c r="G122" s="30"/>
      <c r="H122" s="30" t="s">
        <v>212</v>
      </c>
      <c r="I122" s="30" t="s">
        <v>56</v>
      </c>
      <c r="J122" s="30"/>
      <c r="K122" s="30" t="s">
        <v>64</v>
      </c>
      <c r="L122" s="30"/>
      <c r="M122" s="30" t="n">
        <v>1959</v>
      </c>
      <c r="N122" s="30" t="s">
        <v>58</v>
      </c>
      <c r="O122" s="30" t="n">
        <v>2</v>
      </c>
      <c r="P122" s="30" t="n">
        <v>0</v>
      </c>
      <c r="Q122" s="30" t="n">
        <v>2</v>
      </c>
      <c r="R122" s="30" t="n">
        <v>12</v>
      </c>
      <c r="S122" s="30" t="n">
        <v>729.7</v>
      </c>
      <c r="T122" s="30" t="n">
        <v>729.7</v>
      </c>
      <c r="U122" s="30" t="n">
        <v>729.7</v>
      </c>
      <c r="V122" s="30"/>
      <c r="W122" s="30" t="s">
        <v>54</v>
      </c>
      <c r="X122" s="30" t="s">
        <v>53</v>
      </c>
      <c r="Y122" s="30" t="s">
        <v>54</v>
      </c>
      <c r="Z122" s="30" t="s">
        <v>53</v>
      </c>
      <c r="AA122" s="30" t="s">
        <v>53</v>
      </c>
      <c r="AB122" s="30" t="s">
        <v>53</v>
      </c>
      <c r="AC122" s="30" t="s">
        <v>53</v>
      </c>
      <c r="AD122" s="30" t="s">
        <v>53</v>
      </c>
      <c r="AE122" s="30" t="s">
        <v>54</v>
      </c>
      <c r="AF122" s="30" t="n">
        <v>0</v>
      </c>
      <c r="AG122" s="30" t="n">
        <v>0</v>
      </c>
      <c r="AH122" s="30" t="n">
        <v>1</v>
      </c>
      <c r="AI122" s="30" t="n">
        <v>0</v>
      </c>
      <c r="AJ122" s="30" t="n">
        <v>1</v>
      </c>
      <c r="AK122" s="30" t="n">
        <v>0</v>
      </c>
      <c r="AL122" s="26"/>
    </row>
    <row collapsed="false" customFormat="false" customHeight="false" hidden="false" ht="14.5" outlineLevel="0" r="123">
      <c r="A123" s="30" t="n">
        <v>115</v>
      </c>
      <c r="B123" s="30" t="s">
        <v>45</v>
      </c>
      <c r="C123" s="30" t="s">
        <v>206</v>
      </c>
      <c r="D123" s="30" t="s">
        <v>207</v>
      </c>
      <c r="E123" s="30" t="n">
        <v>4</v>
      </c>
      <c r="F123" s="30" t="s">
        <v>67</v>
      </c>
      <c r="G123" s="30"/>
      <c r="H123" s="30" t="s">
        <v>213</v>
      </c>
      <c r="I123" s="30" t="s">
        <v>56</v>
      </c>
      <c r="J123" s="30"/>
      <c r="K123" s="30" t="s">
        <v>64</v>
      </c>
      <c r="L123" s="30"/>
      <c r="M123" s="30" t="n">
        <v>1958</v>
      </c>
      <c r="N123" s="30" t="s">
        <v>58</v>
      </c>
      <c r="O123" s="30" t="n">
        <v>2</v>
      </c>
      <c r="P123" s="30" t="n">
        <v>0</v>
      </c>
      <c r="Q123" s="30" t="n">
        <v>2</v>
      </c>
      <c r="R123" s="30" t="n">
        <v>12</v>
      </c>
      <c r="S123" s="30" t="n">
        <v>719.8</v>
      </c>
      <c r="T123" s="30" t="n">
        <v>719.8</v>
      </c>
      <c r="U123" s="30" t="n">
        <v>719.8</v>
      </c>
      <c r="V123" s="30"/>
      <c r="W123" s="30" t="s">
        <v>54</v>
      </c>
      <c r="X123" s="30" t="s">
        <v>53</v>
      </c>
      <c r="Y123" s="30" t="s">
        <v>54</v>
      </c>
      <c r="Z123" s="30" t="s">
        <v>53</v>
      </c>
      <c r="AA123" s="30" t="s">
        <v>53</v>
      </c>
      <c r="AB123" s="30" t="s">
        <v>53</v>
      </c>
      <c r="AC123" s="30" t="s">
        <v>53</v>
      </c>
      <c r="AD123" s="30" t="s">
        <v>53</v>
      </c>
      <c r="AE123" s="30" t="s">
        <v>54</v>
      </c>
      <c r="AF123" s="30" t="n">
        <v>0</v>
      </c>
      <c r="AG123" s="30" t="n">
        <v>0</v>
      </c>
      <c r="AH123" s="30" t="n">
        <v>1</v>
      </c>
      <c r="AI123" s="30" t="n">
        <v>0</v>
      </c>
      <c r="AJ123" s="30" t="n">
        <v>1</v>
      </c>
      <c r="AK123" s="30" t="n">
        <v>0</v>
      </c>
      <c r="AL123" s="26"/>
    </row>
    <row collapsed="false" customFormat="false" customHeight="false" hidden="false" ht="14.5" outlineLevel="0" r="124">
      <c r="A124" s="30" t="n">
        <v>116</v>
      </c>
      <c r="B124" s="30" t="s">
        <v>45</v>
      </c>
      <c r="C124" s="30" t="s">
        <v>206</v>
      </c>
      <c r="D124" s="30" t="s">
        <v>207</v>
      </c>
      <c r="E124" s="30" t="n">
        <v>6</v>
      </c>
      <c r="F124" s="30"/>
      <c r="G124" s="30"/>
      <c r="H124" s="30" t="s">
        <v>214</v>
      </c>
      <c r="I124" s="30" t="s">
        <v>56</v>
      </c>
      <c r="J124" s="30"/>
      <c r="K124" s="30" t="s">
        <v>64</v>
      </c>
      <c r="L124" s="30"/>
      <c r="M124" s="30" t="n">
        <v>1960</v>
      </c>
      <c r="N124" s="30" t="s">
        <v>58</v>
      </c>
      <c r="O124" s="30" t="n">
        <v>2</v>
      </c>
      <c r="P124" s="30" t="n">
        <v>0</v>
      </c>
      <c r="Q124" s="30" t="n">
        <v>2</v>
      </c>
      <c r="R124" s="30" t="n">
        <v>16</v>
      </c>
      <c r="S124" s="30" t="n">
        <v>639.5</v>
      </c>
      <c r="T124" s="30" t="n">
        <v>639.5</v>
      </c>
      <c r="U124" s="30" t="n">
        <v>639.5</v>
      </c>
      <c r="V124" s="30"/>
      <c r="W124" s="30" t="s">
        <v>54</v>
      </c>
      <c r="X124" s="30" t="s">
        <v>53</v>
      </c>
      <c r="Y124" s="30" t="s">
        <v>54</v>
      </c>
      <c r="Z124" s="30" t="s">
        <v>53</v>
      </c>
      <c r="AA124" s="30" t="s">
        <v>53</v>
      </c>
      <c r="AB124" s="30" t="s">
        <v>53</v>
      </c>
      <c r="AC124" s="30" t="s">
        <v>53</v>
      </c>
      <c r="AD124" s="30" t="s">
        <v>53</v>
      </c>
      <c r="AE124" s="30" t="s">
        <v>54</v>
      </c>
      <c r="AF124" s="30" t="n">
        <v>0</v>
      </c>
      <c r="AG124" s="30" t="n">
        <v>0</v>
      </c>
      <c r="AH124" s="30" t="n">
        <v>1</v>
      </c>
      <c r="AI124" s="30" t="n">
        <v>0</v>
      </c>
      <c r="AJ124" s="30" t="n">
        <v>1</v>
      </c>
      <c r="AK124" s="30" t="n">
        <v>0</v>
      </c>
      <c r="AL124" s="26"/>
    </row>
    <row collapsed="false" customFormat="false" customHeight="false" hidden="false" ht="14.5" outlineLevel="0" r="125">
      <c r="A125" s="30" t="n">
        <v>117</v>
      </c>
      <c r="B125" s="30" t="s">
        <v>45</v>
      </c>
      <c r="C125" s="30" t="s">
        <v>59</v>
      </c>
      <c r="D125" s="30" t="s">
        <v>215</v>
      </c>
      <c r="E125" s="30" t="n">
        <v>2</v>
      </c>
      <c r="F125" s="30"/>
      <c r="G125" s="30"/>
      <c r="H125" s="30" t="s">
        <v>216</v>
      </c>
      <c r="I125" s="30" t="s">
        <v>56</v>
      </c>
      <c r="J125" s="30"/>
      <c r="K125" s="30" t="s">
        <v>57</v>
      </c>
      <c r="L125" s="30" t="s">
        <v>51</v>
      </c>
      <c r="M125" s="30" t="n">
        <v>1917</v>
      </c>
      <c r="N125" s="30" t="s">
        <v>58</v>
      </c>
      <c r="O125" s="30" t="n">
        <v>2</v>
      </c>
      <c r="P125" s="30" t="n">
        <v>0</v>
      </c>
      <c r="Q125" s="30" t="n">
        <v>2</v>
      </c>
      <c r="R125" s="30" t="n">
        <v>12</v>
      </c>
      <c r="S125" s="30" t="n">
        <v>784</v>
      </c>
      <c r="T125" s="30" t="n">
        <v>784</v>
      </c>
      <c r="U125" s="30" t="n">
        <v>784</v>
      </c>
      <c r="V125" s="30"/>
      <c r="W125" s="30" t="s">
        <v>53</v>
      </c>
      <c r="X125" s="30" t="s">
        <v>53</v>
      </c>
      <c r="Y125" s="30" t="s">
        <v>53</v>
      </c>
      <c r="Z125" s="30" t="s">
        <v>53</v>
      </c>
      <c r="AA125" s="30" t="s">
        <v>53</v>
      </c>
      <c r="AB125" s="30" t="s">
        <v>53</v>
      </c>
      <c r="AC125" s="30" t="s">
        <v>53</v>
      </c>
      <c r="AD125" s="30" t="s">
        <v>53</v>
      </c>
      <c r="AE125" s="30" t="s">
        <v>54</v>
      </c>
      <c r="AF125" s="30" t="n">
        <v>0</v>
      </c>
      <c r="AG125" s="30" t="n">
        <v>0</v>
      </c>
      <c r="AH125" s="30" t="n">
        <v>1</v>
      </c>
      <c r="AI125" s="30" t="n">
        <v>0</v>
      </c>
      <c r="AJ125" s="30" t="n">
        <v>1</v>
      </c>
      <c r="AK125" s="30" t="n">
        <v>0</v>
      </c>
      <c r="AL125" s="26"/>
    </row>
    <row collapsed="false" customFormat="false" customHeight="false" hidden="false" ht="14.5" outlineLevel="0" r="126">
      <c r="A126" s="30" t="n">
        <v>118</v>
      </c>
      <c r="B126" s="30" t="s">
        <v>45</v>
      </c>
      <c r="C126" s="30" t="s">
        <v>59</v>
      </c>
      <c r="D126" s="30" t="s">
        <v>215</v>
      </c>
      <c r="E126" s="30" t="n">
        <v>3</v>
      </c>
      <c r="F126" s="30"/>
      <c r="G126" s="30"/>
      <c r="H126" s="30" t="s">
        <v>217</v>
      </c>
      <c r="I126" s="30" t="s">
        <v>56</v>
      </c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 t="n">
        <v>488</v>
      </c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26"/>
    </row>
    <row collapsed="false" customFormat="false" customHeight="false" hidden="false" ht="14.5" outlineLevel="0" r="127">
      <c r="A127" s="30" t="n">
        <v>119</v>
      </c>
      <c r="B127" s="30" t="s">
        <v>45</v>
      </c>
      <c r="C127" s="30" t="s">
        <v>59</v>
      </c>
      <c r="D127" s="30" t="s">
        <v>215</v>
      </c>
      <c r="E127" s="30" t="n">
        <v>5</v>
      </c>
      <c r="F127" s="30"/>
      <c r="G127" s="30"/>
      <c r="H127" s="30" t="s">
        <v>218</v>
      </c>
      <c r="I127" s="30" t="s">
        <v>56</v>
      </c>
      <c r="J127" s="30"/>
      <c r="K127" s="30" t="s">
        <v>57</v>
      </c>
      <c r="L127" s="30" t="s">
        <v>51</v>
      </c>
      <c r="M127" s="30" t="n">
        <v>1917</v>
      </c>
      <c r="N127" s="30" t="s">
        <v>58</v>
      </c>
      <c r="O127" s="30" t="n">
        <v>2</v>
      </c>
      <c r="P127" s="30" t="n">
        <v>0</v>
      </c>
      <c r="Q127" s="30" t="n">
        <v>2</v>
      </c>
      <c r="R127" s="30" t="n">
        <v>12</v>
      </c>
      <c r="S127" s="30" t="n">
        <v>549</v>
      </c>
      <c r="T127" s="30" t="n">
        <v>549</v>
      </c>
      <c r="U127" s="30" t="n">
        <v>549</v>
      </c>
      <c r="V127" s="30"/>
      <c r="W127" s="30" t="s">
        <v>53</v>
      </c>
      <c r="X127" s="30" t="s">
        <v>53</v>
      </c>
      <c r="Y127" s="30" t="s">
        <v>53</v>
      </c>
      <c r="Z127" s="30" t="s">
        <v>53</v>
      </c>
      <c r="AA127" s="30" t="s">
        <v>53</v>
      </c>
      <c r="AB127" s="30" t="s">
        <v>53</v>
      </c>
      <c r="AC127" s="30" t="s">
        <v>53</v>
      </c>
      <c r="AD127" s="30" t="s">
        <v>53</v>
      </c>
      <c r="AE127" s="30" t="s">
        <v>54</v>
      </c>
      <c r="AF127" s="30" t="n">
        <v>0</v>
      </c>
      <c r="AG127" s="30" t="n">
        <v>0</v>
      </c>
      <c r="AH127" s="30" t="n">
        <v>1</v>
      </c>
      <c r="AI127" s="30" t="n">
        <v>0</v>
      </c>
      <c r="AJ127" s="30" t="n">
        <v>1</v>
      </c>
      <c r="AK127" s="30" t="n">
        <v>0</v>
      </c>
      <c r="AL127" s="26"/>
    </row>
    <row collapsed="false" customFormat="false" customHeight="false" hidden="false" ht="14.5" outlineLevel="0" r="128">
      <c r="A128" s="30" t="n">
        <v>120</v>
      </c>
      <c r="B128" s="30" t="s">
        <v>45</v>
      </c>
      <c r="C128" s="30" t="s">
        <v>59</v>
      </c>
      <c r="D128" s="30" t="s">
        <v>215</v>
      </c>
      <c r="E128" s="30" t="n">
        <v>6</v>
      </c>
      <c r="F128" s="30"/>
      <c r="G128" s="30"/>
      <c r="H128" s="30" t="s">
        <v>219</v>
      </c>
      <c r="I128" s="30" t="s">
        <v>56</v>
      </c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 t="n">
        <v>211</v>
      </c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26"/>
    </row>
    <row collapsed="false" customFormat="false" customHeight="false" hidden="false" ht="14.5" outlineLevel="0" r="129">
      <c r="A129" s="30" t="n">
        <v>121</v>
      </c>
      <c r="B129" s="30" t="s">
        <v>45</v>
      </c>
      <c r="C129" s="30" t="s">
        <v>59</v>
      </c>
      <c r="D129" s="30" t="s">
        <v>215</v>
      </c>
      <c r="E129" s="30" t="n">
        <v>7</v>
      </c>
      <c r="F129" s="30"/>
      <c r="G129" s="30"/>
      <c r="H129" s="30" t="s">
        <v>220</v>
      </c>
      <c r="I129" s="30" t="s">
        <v>56</v>
      </c>
      <c r="J129" s="30"/>
      <c r="K129" s="30" t="s">
        <v>57</v>
      </c>
      <c r="L129" s="30" t="s">
        <v>51</v>
      </c>
      <c r="M129" s="30" t="n">
        <v>1917</v>
      </c>
      <c r="N129" s="30" t="s">
        <v>58</v>
      </c>
      <c r="O129" s="30" t="n">
        <v>2</v>
      </c>
      <c r="P129" s="30" t="n">
        <v>0</v>
      </c>
      <c r="Q129" s="30" t="n">
        <v>2</v>
      </c>
      <c r="R129" s="30" t="n">
        <v>8</v>
      </c>
      <c r="S129" s="30" t="n">
        <v>514</v>
      </c>
      <c r="T129" s="30" t="n">
        <v>514</v>
      </c>
      <c r="U129" s="30" t="n">
        <v>514</v>
      </c>
      <c r="V129" s="30"/>
      <c r="W129" s="30" t="s">
        <v>53</v>
      </c>
      <c r="X129" s="30" t="s">
        <v>53</v>
      </c>
      <c r="Y129" s="30" t="s">
        <v>53</v>
      </c>
      <c r="Z129" s="30" t="s">
        <v>53</v>
      </c>
      <c r="AA129" s="30" t="s">
        <v>53</v>
      </c>
      <c r="AB129" s="30" t="s">
        <v>53</v>
      </c>
      <c r="AC129" s="30" t="s">
        <v>53</v>
      </c>
      <c r="AD129" s="30" t="s">
        <v>53</v>
      </c>
      <c r="AE129" s="30" t="s">
        <v>54</v>
      </c>
      <c r="AF129" s="30" t="n">
        <v>0</v>
      </c>
      <c r="AG129" s="30" t="n">
        <v>0</v>
      </c>
      <c r="AH129" s="30" t="n">
        <v>1</v>
      </c>
      <c r="AI129" s="30" t="n">
        <v>0</v>
      </c>
      <c r="AJ129" s="30" t="n">
        <v>1</v>
      </c>
      <c r="AK129" s="30" t="n">
        <v>0</v>
      </c>
      <c r="AL129" s="26"/>
    </row>
    <row collapsed="false" customFormat="false" customHeight="false" hidden="false" ht="14.5" outlineLevel="0" r="130">
      <c r="A130" s="30" t="n">
        <v>122</v>
      </c>
      <c r="B130" s="30" t="s">
        <v>45</v>
      </c>
      <c r="C130" s="30" t="s">
        <v>59</v>
      </c>
      <c r="D130" s="30" t="s">
        <v>215</v>
      </c>
      <c r="E130" s="30" t="n">
        <v>8</v>
      </c>
      <c r="F130" s="30"/>
      <c r="G130" s="30"/>
      <c r="H130" s="30" t="s">
        <v>221</v>
      </c>
      <c r="I130" s="30" t="s">
        <v>56</v>
      </c>
      <c r="J130" s="30"/>
      <c r="K130" s="30" t="s">
        <v>57</v>
      </c>
      <c r="L130" s="30" t="s">
        <v>51</v>
      </c>
      <c r="M130" s="30" t="n">
        <v>1917</v>
      </c>
      <c r="N130" s="30" t="s">
        <v>58</v>
      </c>
      <c r="O130" s="30" t="n">
        <v>2</v>
      </c>
      <c r="P130" s="30" t="n">
        <v>0</v>
      </c>
      <c r="Q130" s="30" t="n">
        <v>2</v>
      </c>
      <c r="R130" s="30" t="n">
        <v>7</v>
      </c>
      <c r="S130" s="30" t="n">
        <v>732</v>
      </c>
      <c r="T130" s="30" t="n">
        <v>732</v>
      </c>
      <c r="U130" s="30" t="n">
        <v>732</v>
      </c>
      <c r="V130" s="30"/>
      <c r="W130" s="30" t="s">
        <v>53</v>
      </c>
      <c r="X130" s="30" t="s">
        <v>53</v>
      </c>
      <c r="Y130" s="30" t="s">
        <v>53</v>
      </c>
      <c r="Z130" s="30" t="s">
        <v>53</v>
      </c>
      <c r="AA130" s="30" t="s">
        <v>53</v>
      </c>
      <c r="AB130" s="30" t="s">
        <v>53</v>
      </c>
      <c r="AC130" s="30" t="s">
        <v>53</v>
      </c>
      <c r="AD130" s="30" t="s">
        <v>53</v>
      </c>
      <c r="AE130" s="30" t="s">
        <v>54</v>
      </c>
      <c r="AF130" s="30" t="n">
        <v>0</v>
      </c>
      <c r="AG130" s="30" t="n">
        <v>0</v>
      </c>
      <c r="AH130" s="30" t="n">
        <v>0</v>
      </c>
      <c r="AI130" s="30" t="n">
        <v>0</v>
      </c>
      <c r="AJ130" s="30" t="n">
        <v>1</v>
      </c>
      <c r="AK130" s="30" t="n">
        <v>0</v>
      </c>
      <c r="AL130" s="26"/>
    </row>
    <row collapsed="false" customFormat="false" customHeight="false" hidden="false" ht="14.5" outlineLevel="0" r="131">
      <c r="A131" s="30" t="n">
        <v>123</v>
      </c>
      <c r="B131" s="30" t="s">
        <v>45</v>
      </c>
      <c r="C131" s="30" t="s">
        <v>59</v>
      </c>
      <c r="D131" s="30" t="s">
        <v>215</v>
      </c>
      <c r="E131" s="30" t="n">
        <v>12</v>
      </c>
      <c r="F131" s="30"/>
      <c r="G131" s="30"/>
      <c r="H131" s="30" t="s">
        <v>222</v>
      </c>
      <c r="I131" s="30" t="s">
        <v>56</v>
      </c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 t="n">
        <v>255</v>
      </c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26"/>
    </row>
    <row collapsed="false" customFormat="false" customHeight="false" hidden="false" ht="14.5" outlineLevel="0" r="132">
      <c r="A132" s="30" t="n">
        <v>124</v>
      </c>
      <c r="B132" s="30" t="s">
        <v>45</v>
      </c>
      <c r="C132" s="30" t="s">
        <v>59</v>
      </c>
      <c r="D132" s="30" t="s">
        <v>215</v>
      </c>
      <c r="E132" s="30" t="n">
        <v>12</v>
      </c>
      <c r="F132" s="30" t="s">
        <v>67</v>
      </c>
      <c r="G132" s="30"/>
      <c r="H132" s="30" t="s">
        <v>223</v>
      </c>
      <c r="I132" s="30" t="s">
        <v>56</v>
      </c>
      <c r="J132" s="30"/>
      <c r="K132" s="30" t="s">
        <v>101</v>
      </c>
      <c r="L132" s="30" t="s">
        <v>57</v>
      </c>
      <c r="M132" s="30" t="n">
        <v>1973</v>
      </c>
      <c r="N132" s="30" t="s">
        <v>58</v>
      </c>
      <c r="O132" s="30" t="n">
        <v>5</v>
      </c>
      <c r="P132" s="30" t="n">
        <v>0</v>
      </c>
      <c r="Q132" s="30" t="n">
        <v>2</v>
      </c>
      <c r="R132" s="30" t="n">
        <v>88</v>
      </c>
      <c r="S132" s="30" t="n">
        <v>4101.6</v>
      </c>
      <c r="T132" s="30" t="n">
        <v>4101.6</v>
      </c>
      <c r="U132" s="30" t="n">
        <v>3597</v>
      </c>
      <c r="V132" s="30" t="n">
        <v>504.6</v>
      </c>
      <c r="W132" s="30" t="s">
        <v>53</v>
      </c>
      <c r="X132" s="30" t="s">
        <v>53</v>
      </c>
      <c r="Y132" s="30" t="s">
        <v>53</v>
      </c>
      <c r="Z132" s="30" t="s">
        <v>53</v>
      </c>
      <c r="AA132" s="30" t="s">
        <v>53</v>
      </c>
      <c r="AB132" s="30" t="s">
        <v>53</v>
      </c>
      <c r="AC132" s="30" t="s">
        <v>54</v>
      </c>
      <c r="AD132" s="30" t="s">
        <v>53</v>
      </c>
      <c r="AE132" s="30" t="s">
        <v>54</v>
      </c>
      <c r="AF132" s="30" t="n">
        <v>0</v>
      </c>
      <c r="AG132" s="30" t="n">
        <v>0</v>
      </c>
      <c r="AH132" s="30" t="n">
        <v>2</v>
      </c>
      <c r="AI132" s="30" t="n">
        <v>0</v>
      </c>
      <c r="AJ132" s="30" t="n">
        <v>2</v>
      </c>
      <c r="AK132" s="30" t="n">
        <v>0</v>
      </c>
      <c r="AL132" s="26"/>
    </row>
    <row collapsed="false" customFormat="false" customHeight="false" hidden="false" ht="14.5" outlineLevel="0" r="133">
      <c r="A133" s="30" t="n">
        <v>125</v>
      </c>
      <c r="B133" s="30" t="s">
        <v>45</v>
      </c>
      <c r="C133" s="30" t="s">
        <v>206</v>
      </c>
      <c r="D133" s="30" t="s">
        <v>224</v>
      </c>
      <c r="E133" s="30" t="n">
        <v>2</v>
      </c>
      <c r="F133" s="30"/>
      <c r="G133" s="30"/>
      <c r="H133" s="30" t="s">
        <v>225</v>
      </c>
      <c r="I133" s="30" t="s">
        <v>56</v>
      </c>
      <c r="J133" s="30"/>
      <c r="K133" s="30" t="s">
        <v>64</v>
      </c>
      <c r="L133" s="30"/>
      <c r="M133" s="30" t="n">
        <v>1959</v>
      </c>
      <c r="N133" s="30" t="s">
        <v>58</v>
      </c>
      <c r="O133" s="30" t="n">
        <v>3</v>
      </c>
      <c r="P133" s="30" t="n">
        <v>0</v>
      </c>
      <c r="Q133" s="30" t="n">
        <v>2</v>
      </c>
      <c r="R133" s="30" t="n">
        <v>27</v>
      </c>
      <c r="S133" s="30" t="n">
        <v>1341.08</v>
      </c>
      <c r="T133" s="30" t="n">
        <v>1341.08</v>
      </c>
      <c r="U133" s="30" t="n">
        <v>1341.08</v>
      </c>
      <c r="V133" s="30"/>
      <c r="W133" s="30" t="s">
        <v>53</v>
      </c>
      <c r="X133" s="30" t="s">
        <v>53</v>
      </c>
      <c r="Y133" s="30" t="s">
        <v>54</v>
      </c>
      <c r="Z133" s="30" t="s">
        <v>53</v>
      </c>
      <c r="AA133" s="30" t="s">
        <v>53</v>
      </c>
      <c r="AB133" s="30" t="s">
        <v>53</v>
      </c>
      <c r="AC133" s="30" t="s">
        <v>53</v>
      </c>
      <c r="AD133" s="30" t="s">
        <v>53</v>
      </c>
      <c r="AE133" s="30" t="s">
        <v>54</v>
      </c>
      <c r="AF133" s="30" t="n">
        <v>0</v>
      </c>
      <c r="AG133" s="30" t="n">
        <v>0</v>
      </c>
      <c r="AH133" s="30" t="n">
        <v>1</v>
      </c>
      <c r="AI133" s="30" t="n">
        <v>0</v>
      </c>
      <c r="AJ133" s="30" t="n">
        <v>1</v>
      </c>
      <c r="AK133" s="30" t="n">
        <v>0</v>
      </c>
      <c r="AL133" s="26"/>
    </row>
    <row collapsed="false" customFormat="false" customHeight="false" hidden="false" ht="14.5" outlineLevel="0" r="134">
      <c r="A134" s="30" t="n">
        <v>126</v>
      </c>
      <c r="B134" s="30" t="s">
        <v>45</v>
      </c>
      <c r="C134" s="30" t="s">
        <v>206</v>
      </c>
      <c r="D134" s="30" t="s">
        <v>224</v>
      </c>
      <c r="E134" s="30" t="n">
        <v>4</v>
      </c>
      <c r="F134" s="30"/>
      <c r="G134" s="30"/>
      <c r="H134" s="30" t="s">
        <v>226</v>
      </c>
      <c r="I134" s="30" t="s">
        <v>56</v>
      </c>
      <c r="J134" s="30"/>
      <c r="K134" s="30"/>
      <c r="L134" s="30"/>
      <c r="M134" s="30" t="n">
        <v>1946</v>
      </c>
      <c r="N134" s="30" t="s">
        <v>58</v>
      </c>
      <c r="O134" s="30" t="n">
        <v>4</v>
      </c>
      <c r="P134" s="30" t="n">
        <v>0</v>
      </c>
      <c r="Q134" s="30" t="n">
        <v>2</v>
      </c>
      <c r="R134" s="30" t="n">
        <v>12</v>
      </c>
      <c r="S134" s="30" t="n">
        <v>2280.7</v>
      </c>
      <c r="T134" s="30" t="n">
        <v>2280.7</v>
      </c>
      <c r="U134" s="30" t="n">
        <v>2280.7</v>
      </c>
      <c r="V134" s="30"/>
      <c r="W134" s="30" t="s">
        <v>53</v>
      </c>
      <c r="X134" s="30" t="s">
        <v>53</v>
      </c>
      <c r="Y134" s="30" t="s">
        <v>53</v>
      </c>
      <c r="Z134" s="30" t="s">
        <v>53</v>
      </c>
      <c r="AA134" s="30" t="s">
        <v>53</v>
      </c>
      <c r="AB134" s="30" t="s">
        <v>53</v>
      </c>
      <c r="AC134" s="30" t="s">
        <v>54</v>
      </c>
      <c r="AD134" s="30" t="s">
        <v>53</v>
      </c>
      <c r="AE134" s="30" t="s">
        <v>54</v>
      </c>
      <c r="AF134" s="30" t="n">
        <v>0</v>
      </c>
      <c r="AG134" s="30" t="n">
        <v>0</v>
      </c>
      <c r="AH134" s="30" t="n">
        <v>1</v>
      </c>
      <c r="AI134" s="30" t="n">
        <v>1</v>
      </c>
      <c r="AJ134" s="30" t="n">
        <v>1</v>
      </c>
      <c r="AK134" s="30" t="n">
        <v>0</v>
      </c>
      <c r="AL134" s="26"/>
    </row>
    <row collapsed="false" customFormat="false" customHeight="false" hidden="false" ht="14.5" outlineLevel="0" r="135">
      <c r="A135" s="30" t="n">
        <v>127</v>
      </c>
      <c r="B135" s="30" t="s">
        <v>45</v>
      </c>
      <c r="C135" s="30" t="s">
        <v>206</v>
      </c>
      <c r="D135" s="30" t="s">
        <v>224</v>
      </c>
      <c r="E135" s="30" t="n">
        <v>6</v>
      </c>
      <c r="F135" s="30"/>
      <c r="G135" s="30"/>
      <c r="H135" s="30" t="s">
        <v>227</v>
      </c>
      <c r="I135" s="30" t="s">
        <v>56</v>
      </c>
      <c r="J135" s="30"/>
      <c r="K135" s="30" t="s">
        <v>101</v>
      </c>
      <c r="L135" s="30"/>
      <c r="M135" s="30" t="n">
        <v>1973</v>
      </c>
      <c r="N135" s="30" t="s">
        <v>58</v>
      </c>
      <c r="O135" s="30" t="n">
        <v>5</v>
      </c>
      <c r="P135" s="30" t="n">
        <v>0</v>
      </c>
      <c r="Q135" s="30" t="n">
        <v>5</v>
      </c>
      <c r="R135" s="30" t="n">
        <v>100</v>
      </c>
      <c r="S135" s="30" t="n">
        <v>4128.1</v>
      </c>
      <c r="T135" s="30" t="n">
        <v>4128.1</v>
      </c>
      <c r="U135" s="30" t="n">
        <v>4128.1</v>
      </c>
      <c r="V135" s="30"/>
      <c r="W135" s="30" t="s">
        <v>53</v>
      </c>
      <c r="X135" s="30" t="s">
        <v>53</v>
      </c>
      <c r="Y135" s="30" t="s">
        <v>54</v>
      </c>
      <c r="Z135" s="30" t="s">
        <v>53</v>
      </c>
      <c r="AA135" s="30" t="s">
        <v>53</v>
      </c>
      <c r="AB135" s="30" t="s">
        <v>53</v>
      </c>
      <c r="AC135" s="30" t="s">
        <v>53</v>
      </c>
      <c r="AD135" s="30" t="s">
        <v>53</v>
      </c>
      <c r="AE135" s="30" t="s">
        <v>54</v>
      </c>
      <c r="AF135" s="30" t="n">
        <v>0</v>
      </c>
      <c r="AG135" s="30" t="n">
        <v>1</v>
      </c>
      <c r="AH135" s="30" t="n">
        <v>1</v>
      </c>
      <c r="AI135" s="30" t="n">
        <v>0</v>
      </c>
      <c r="AJ135" s="30" t="n">
        <v>1</v>
      </c>
      <c r="AK135" s="30" t="n">
        <v>0</v>
      </c>
      <c r="AL135" s="26"/>
    </row>
    <row collapsed="false" customFormat="false" customHeight="false" hidden="false" ht="14.5" outlineLevel="0" r="136">
      <c r="A136" s="30" t="n">
        <v>128</v>
      </c>
      <c r="B136" s="30" t="s">
        <v>45</v>
      </c>
      <c r="C136" s="30" t="s">
        <v>206</v>
      </c>
      <c r="D136" s="30" t="s">
        <v>224</v>
      </c>
      <c r="E136" s="30" t="n">
        <v>7</v>
      </c>
      <c r="F136" s="30"/>
      <c r="G136" s="30"/>
      <c r="H136" s="30" t="s">
        <v>228</v>
      </c>
      <c r="I136" s="30" t="s">
        <v>56</v>
      </c>
      <c r="J136" s="30"/>
      <c r="K136" s="30" t="s">
        <v>64</v>
      </c>
      <c r="L136" s="30"/>
      <c r="M136" s="30" t="n">
        <v>1968</v>
      </c>
      <c r="N136" s="30" t="s">
        <v>58</v>
      </c>
      <c r="O136" s="30" t="n">
        <v>5</v>
      </c>
      <c r="P136" s="30" t="n">
        <v>0</v>
      </c>
      <c r="Q136" s="30" t="n">
        <v>5</v>
      </c>
      <c r="R136" s="30" t="n">
        <v>99</v>
      </c>
      <c r="S136" s="30" t="n">
        <v>4157.92</v>
      </c>
      <c r="T136" s="30" t="n">
        <v>4157.92</v>
      </c>
      <c r="U136" s="30" t="n">
        <v>4157.92</v>
      </c>
      <c r="V136" s="30"/>
      <c r="W136" s="30" t="s">
        <v>53</v>
      </c>
      <c r="X136" s="30" t="s">
        <v>53</v>
      </c>
      <c r="Y136" s="30" t="s">
        <v>54</v>
      </c>
      <c r="Z136" s="30" t="s">
        <v>53</v>
      </c>
      <c r="AA136" s="30" t="s">
        <v>53</v>
      </c>
      <c r="AB136" s="30" t="s">
        <v>53</v>
      </c>
      <c r="AC136" s="30" t="s">
        <v>53</v>
      </c>
      <c r="AD136" s="30" t="s">
        <v>53</v>
      </c>
      <c r="AE136" s="30" t="s">
        <v>54</v>
      </c>
      <c r="AF136" s="30" t="n">
        <v>0</v>
      </c>
      <c r="AG136" s="30" t="n">
        <v>1</v>
      </c>
      <c r="AH136" s="30" t="n">
        <v>1</v>
      </c>
      <c r="AI136" s="30" t="n">
        <v>0</v>
      </c>
      <c r="AJ136" s="30" t="n">
        <v>1</v>
      </c>
      <c r="AK136" s="30" t="n">
        <v>0</v>
      </c>
      <c r="AL136" s="26"/>
    </row>
    <row collapsed="false" customFormat="false" customHeight="false" hidden="false" ht="14.5" outlineLevel="0" r="137">
      <c r="A137" s="30" t="n">
        <v>129</v>
      </c>
      <c r="B137" s="30" t="s">
        <v>45</v>
      </c>
      <c r="C137" s="30" t="s">
        <v>206</v>
      </c>
      <c r="D137" s="30" t="s">
        <v>224</v>
      </c>
      <c r="E137" s="30" t="n">
        <v>8</v>
      </c>
      <c r="F137" s="30"/>
      <c r="G137" s="30"/>
      <c r="H137" s="30" t="s">
        <v>229</v>
      </c>
      <c r="I137" s="30" t="s">
        <v>56</v>
      </c>
      <c r="J137" s="30"/>
      <c r="K137" s="30" t="s">
        <v>101</v>
      </c>
      <c r="L137" s="30"/>
      <c r="M137" s="30" t="n">
        <v>1975</v>
      </c>
      <c r="N137" s="30" t="s">
        <v>58</v>
      </c>
      <c r="O137" s="30" t="n">
        <v>9</v>
      </c>
      <c r="P137" s="30" t="n">
        <v>0</v>
      </c>
      <c r="Q137" s="30" t="n">
        <v>2</v>
      </c>
      <c r="R137" s="30" t="n">
        <v>71</v>
      </c>
      <c r="S137" s="30" t="n">
        <v>3297.71</v>
      </c>
      <c r="T137" s="30" t="n">
        <v>3297.71</v>
      </c>
      <c r="U137" s="30" t="n">
        <v>3297.71</v>
      </c>
      <c r="V137" s="30"/>
      <c r="W137" s="30" t="s">
        <v>53</v>
      </c>
      <c r="X137" s="30" t="s">
        <v>53</v>
      </c>
      <c r="Y137" s="30" t="s">
        <v>53</v>
      </c>
      <c r="Z137" s="30" t="s">
        <v>53</v>
      </c>
      <c r="AA137" s="30" t="s">
        <v>53</v>
      </c>
      <c r="AB137" s="30" t="s">
        <v>53</v>
      </c>
      <c r="AC137" s="30" t="s">
        <v>54</v>
      </c>
      <c r="AD137" s="30" t="s">
        <v>53</v>
      </c>
      <c r="AE137" s="30" t="s">
        <v>54</v>
      </c>
      <c r="AF137" s="30" t="n">
        <v>2</v>
      </c>
      <c r="AG137" s="30" t="n">
        <v>0</v>
      </c>
      <c r="AH137" s="30" t="n">
        <v>0</v>
      </c>
      <c r="AI137" s="30" t="n">
        <v>1</v>
      </c>
      <c r="AJ137" s="30" t="n">
        <v>1</v>
      </c>
      <c r="AK137" s="30" t="n">
        <v>0</v>
      </c>
      <c r="AL137" s="26"/>
    </row>
    <row collapsed="false" customFormat="false" customHeight="false" hidden="false" ht="14.5" outlineLevel="0" r="138">
      <c r="A138" s="30" t="n">
        <v>519</v>
      </c>
      <c r="B138" s="30" t="s">
        <v>45</v>
      </c>
      <c r="C138" s="30" t="s">
        <v>59</v>
      </c>
      <c r="D138" s="30" t="s">
        <v>133</v>
      </c>
      <c r="E138" s="30" t="n">
        <v>7</v>
      </c>
      <c r="F138" s="30" t="n">
        <v>4</v>
      </c>
      <c r="G138" s="30"/>
      <c r="H138" s="30" t="s">
        <v>230</v>
      </c>
      <c r="I138" s="30" t="s">
        <v>56</v>
      </c>
      <c r="J138" s="30" t="s">
        <v>86</v>
      </c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26"/>
    </row>
    <row collapsed="false" customFormat="false" customHeight="false" hidden="false" ht="14.5" outlineLevel="0" r="139">
      <c r="A139" s="30" t="n">
        <v>130</v>
      </c>
      <c r="B139" s="30" t="s">
        <v>45</v>
      </c>
      <c r="C139" s="30" t="s">
        <v>206</v>
      </c>
      <c r="D139" s="30" t="s">
        <v>224</v>
      </c>
      <c r="E139" s="30" t="n">
        <v>9</v>
      </c>
      <c r="F139" s="30"/>
      <c r="G139" s="30"/>
      <c r="H139" s="30" t="s">
        <v>231</v>
      </c>
      <c r="I139" s="30" t="s">
        <v>56</v>
      </c>
      <c r="J139" s="30"/>
      <c r="K139" s="30" t="s">
        <v>64</v>
      </c>
      <c r="L139" s="30"/>
      <c r="M139" s="30" t="n">
        <v>1968</v>
      </c>
      <c r="N139" s="30" t="s">
        <v>58</v>
      </c>
      <c r="O139" s="30" t="n">
        <v>5</v>
      </c>
      <c r="P139" s="30" t="n">
        <v>0</v>
      </c>
      <c r="Q139" s="30" t="n">
        <v>5</v>
      </c>
      <c r="R139" s="30" t="n">
        <v>101</v>
      </c>
      <c r="S139" s="30" t="n">
        <v>4365.74</v>
      </c>
      <c r="T139" s="30" t="n">
        <v>4365.74</v>
      </c>
      <c r="U139" s="30" t="n">
        <v>4365.74</v>
      </c>
      <c r="V139" s="30"/>
      <c r="W139" s="30" t="s">
        <v>53</v>
      </c>
      <c r="X139" s="30" t="s">
        <v>53</v>
      </c>
      <c r="Y139" s="30" t="s">
        <v>54</v>
      </c>
      <c r="Z139" s="30" t="s">
        <v>53</v>
      </c>
      <c r="AA139" s="30" t="s">
        <v>53</v>
      </c>
      <c r="AB139" s="30" t="s">
        <v>53</v>
      </c>
      <c r="AC139" s="30" t="s">
        <v>53</v>
      </c>
      <c r="AD139" s="30" t="s">
        <v>53</v>
      </c>
      <c r="AE139" s="30" t="s">
        <v>54</v>
      </c>
      <c r="AF139" s="30" t="n">
        <v>0</v>
      </c>
      <c r="AG139" s="30" t="n">
        <v>0</v>
      </c>
      <c r="AH139" s="30" t="n">
        <v>1</v>
      </c>
      <c r="AI139" s="30" t="n">
        <v>0</v>
      </c>
      <c r="AJ139" s="30" t="n">
        <v>1</v>
      </c>
      <c r="AK139" s="30" t="n">
        <v>0</v>
      </c>
      <c r="AL139" s="26"/>
    </row>
    <row collapsed="false" customFormat="false" customHeight="false" hidden="false" ht="14.5" outlineLevel="0" r="140">
      <c r="A140" s="30" t="n">
        <v>131</v>
      </c>
      <c r="B140" s="30" t="s">
        <v>45</v>
      </c>
      <c r="C140" s="30" t="s">
        <v>206</v>
      </c>
      <c r="D140" s="30" t="s">
        <v>224</v>
      </c>
      <c r="E140" s="30" t="n">
        <v>10</v>
      </c>
      <c r="F140" s="30"/>
      <c r="G140" s="30"/>
      <c r="H140" s="30" t="s">
        <v>232</v>
      </c>
      <c r="I140" s="30" t="s">
        <v>56</v>
      </c>
      <c r="J140" s="30"/>
      <c r="K140" s="30" t="s">
        <v>101</v>
      </c>
      <c r="L140" s="30"/>
      <c r="M140" s="30" t="n">
        <v>1976</v>
      </c>
      <c r="N140" s="30" t="s">
        <v>58</v>
      </c>
      <c r="O140" s="30" t="n">
        <v>9</v>
      </c>
      <c r="P140" s="30" t="n">
        <v>0</v>
      </c>
      <c r="Q140" s="30" t="n">
        <v>2</v>
      </c>
      <c r="R140" s="30" t="n">
        <v>72</v>
      </c>
      <c r="S140" s="30" t="n">
        <v>3358.65</v>
      </c>
      <c r="T140" s="30" t="n">
        <v>3358.65</v>
      </c>
      <c r="U140" s="30" t="n">
        <v>3358.65</v>
      </c>
      <c r="V140" s="30"/>
      <c r="W140" s="30" t="s">
        <v>53</v>
      </c>
      <c r="X140" s="30" t="s">
        <v>53</v>
      </c>
      <c r="Y140" s="30" t="s">
        <v>53</v>
      </c>
      <c r="Z140" s="30" t="s">
        <v>53</v>
      </c>
      <c r="AA140" s="30" t="s">
        <v>53</v>
      </c>
      <c r="AB140" s="30" t="s">
        <v>53</v>
      </c>
      <c r="AC140" s="30" t="s">
        <v>54</v>
      </c>
      <c r="AD140" s="30" t="s">
        <v>53</v>
      </c>
      <c r="AE140" s="30" t="s">
        <v>54</v>
      </c>
      <c r="AF140" s="30" t="n">
        <v>2</v>
      </c>
      <c r="AG140" s="30" t="n">
        <v>1</v>
      </c>
      <c r="AH140" s="30" t="n">
        <v>0</v>
      </c>
      <c r="AI140" s="30" t="n">
        <v>1</v>
      </c>
      <c r="AJ140" s="30" t="n">
        <v>1</v>
      </c>
      <c r="AK140" s="30" t="n">
        <v>0</v>
      </c>
      <c r="AL140" s="26"/>
    </row>
    <row collapsed="false" customFormat="false" customHeight="false" hidden="false" ht="14.5" outlineLevel="0" r="141">
      <c r="A141" s="30" t="n">
        <v>132</v>
      </c>
      <c r="B141" s="30" t="s">
        <v>45</v>
      </c>
      <c r="C141" s="30" t="s">
        <v>206</v>
      </c>
      <c r="D141" s="30" t="s">
        <v>224</v>
      </c>
      <c r="E141" s="30" t="n">
        <v>12</v>
      </c>
      <c r="F141" s="30"/>
      <c r="G141" s="30"/>
      <c r="H141" s="30" t="s">
        <v>233</v>
      </c>
      <c r="I141" s="30" t="s">
        <v>56</v>
      </c>
      <c r="J141" s="30"/>
      <c r="K141" s="30" t="s">
        <v>64</v>
      </c>
      <c r="L141" s="30"/>
      <c r="M141" s="30" t="n">
        <v>1963</v>
      </c>
      <c r="N141" s="30" t="s">
        <v>58</v>
      </c>
      <c r="O141" s="30" t="n">
        <v>5</v>
      </c>
      <c r="P141" s="30" t="n">
        <v>0</v>
      </c>
      <c r="Q141" s="30" t="n">
        <v>6</v>
      </c>
      <c r="R141" s="30" t="n">
        <v>120</v>
      </c>
      <c r="S141" s="30" t="n">
        <v>5419.3</v>
      </c>
      <c r="T141" s="30" t="n">
        <v>5419.3</v>
      </c>
      <c r="U141" s="30" t="n">
        <v>5419.3</v>
      </c>
      <c r="V141" s="30"/>
      <c r="W141" s="30" t="s">
        <v>53</v>
      </c>
      <c r="X141" s="30" t="s">
        <v>53</v>
      </c>
      <c r="Y141" s="30" t="s">
        <v>54</v>
      </c>
      <c r="Z141" s="30" t="s">
        <v>53</v>
      </c>
      <c r="AA141" s="30" t="s">
        <v>53</v>
      </c>
      <c r="AB141" s="30" t="s">
        <v>53</v>
      </c>
      <c r="AC141" s="30" t="s">
        <v>53</v>
      </c>
      <c r="AD141" s="30" t="s">
        <v>53</v>
      </c>
      <c r="AE141" s="30" t="s">
        <v>54</v>
      </c>
      <c r="AF141" s="30" t="n">
        <v>0</v>
      </c>
      <c r="AG141" s="30" t="n">
        <v>0</v>
      </c>
      <c r="AH141" s="30" t="n">
        <v>1</v>
      </c>
      <c r="AI141" s="30" t="n">
        <v>0</v>
      </c>
      <c r="AJ141" s="30" t="n">
        <v>1</v>
      </c>
      <c r="AK141" s="30" t="n">
        <v>0</v>
      </c>
      <c r="AL141" s="26"/>
    </row>
    <row collapsed="false" customFormat="false" customHeight="false" hidden="false" ht="14.5" outlineLevel="0" r="142">
      <c r="A142" s="30" t="n">
        <v>133</v>
      </c>
      <c r="B142" s="30" t="s">
        <v>45</v>
      </c>
      <c r="C142" s="30" t="s">
        <v>59</v>
      </c>
      <c r="D142" s="30" t="s">
        <v>234</v>
      </c>
      <c r="E142" s="30" t="n">
        <v>3</v>
      </c>
      <c r="F142" s="30"/>
      <c r="G142" s="30"/>
      <c r="H142" s="30" t="s">
        <v>235</v>
      </c>
      <c r="I142" s="30" t="s">
        <v>56</v>
      </c>
      <c r="J142" s="30"/>
      <c r="K142" s="30" t="s">
        <v>64</v>
      </c>
      <c r="L142" s="30" t="s">
        <v>57</v>
      </c>
      <c r="M142" s="30" t="n">
        <v>1961</v>
      </c>
      <c r="N142" s="30" t="s">
        <v>58</v>
      </c>
      <c r="O142" s="30" t="n">
        <v>2</v>
      </c>
      <c r="P142" s="30" t="n">
        <v>0</v>
      </c>
      <c r="Q142" s="30" t="n">
        <v>2</v>
      </c>
      <c r="R142" s="30" t="n">
        <v>16</v>
      </c>
      <c r="S142" s="30" t="n">
        <v>638</v>
      </c>
      <c r="T142" s="30" t="n">
        <v>638</v>
      </c>
      <c r="U142" s="30" t="n">
        <v>638</v>
      </c>
      <c r="V142" s="30"/>
      <c r="W142" s="30" t="s">
        <v>53</v>
      </c>
      <c r="X142" s="30" t="s">
        <v>53</v>
      </c>
      <c r="Y142" s="30" t="s">
        <v>53</v>
      </c>
      <c r="Z142" s="30" t="s">
        <v>53</v>
      </c>
      <c r="AA142" s="30" t="s">
        <v>53</v>
      </c>
      <c r="AB142" s="30" t="s">
        <v>53</v>
      </c>
      <c r="AC142" s="30" t="s">
        <v>53</v>
      </c>
      <c r="AD142" s="30" t="s">
        <v>53</v>
      </c>
      <c r="AE142" s="30" t="s">
        <v>54</v>
      </c>
      <c r="AF142" s="30" t="n">
        <v>0</v>
      </c>
      <c r="AG142" s="30" t="n">
        <v>0</v>
      </c>
      <c r="AH142" s="30" t="n">
        <v>0</v>
      </c>
      <c r="AI142" s="30" t="n">
        <v>0</v>
      </c>
      <c r="AJ142" s="30" t="n">
        <v>0</v>
      </c>
      <c r="AK142" s="30" t="n">
        <v>0</v>
      </c>
      <c r="AL142" s="26"/>
    </row>
    <row collapsed="false" customFormat="false" customHeight="false" hidden="false" ht="14.5" outlineLevel="0" r="143">
      <c r="A143" s="30" t="n">
        <v>134</v>
      </c>
      <c r="B143" s="30" t="s">
        <v>45</v>
      </c>
      <c r="C143" s="30" t="s">
        <v>59</v>
      </c>
      <c r="D143" s="30" t="s">
        <v>234</v>
      </c>
      <c r="E143" s="30" t="n">
        <v>5</v>
      </c>
      <c r="F143" s="30"/>
      <c r="G143" s="30"/>
      <c r="H143" s="30" t="s">
        <v>236</v>
      </c>
      <c r="I143" s="30" t="s">
        <v>56</v>
      </c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 t="n">
        <v>279</v>
      </c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26"/>
    </row>
    <row collapsed="false" customFormat="false" customHeight="false" hidden="false" ht="14.5" outlineLevel="0" r="144">
      <c r="A144" s="30" t="n">
        <v>135</v>
      </c>
      <c r="B144" s="30" t="s">
        <v>45</v>
      </c>
      <c r="C144" s="30" t="s">
        <v>59</v>
      </c>
      <c r="D144" s="30" t="s">
        <v>234</v>
      </c>
      <c r="E144" s="30" t="n">
        <v>7</v>
      </c>
      <c r="F144" s="30"/>
      <c r="G144" s="30"/>
      <c r="H144" s="30" t="s">
        <v>237</v>
      </c>
      <c r="I144" s="30" t="s">
        <v>56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 t="n">
        <v>280</v>
      </c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26"/>
    </row>
    <row collapsed="false" customFormat="false" customHeight="false" hidden="false" ht="14.5" outlineLevel="0" r="145">
      <c r="A145" s="30" t="n">
        <v>136</v>
      </c>
      <c r="B145" s="30" t="s">
        <v>45</v>
      </c>
      <c r="C145" s="30" t="s">
        <v>59</v>
      </c>
      <c r="D145" s="30" t="s">
        <v>238</v>
      </c>
      <c r="E145" s="30" t="n">
        <v>7</v>
      </c>
      <c r="F145" s="30" t="n">
        <v>1</v>
      </c>
      <c r="G145" s="30"/>
      <c r="H145" s="30" t="s">
        <v>239</v>
      </c>
      <c r="I145" s="30" t="s">
        <v>56</v>
      </c>
      <c r="J145" s="30"/>
      <c r="K145" s="30" t="s">
        <v>101</v>
      </c>
      <c r="L145" s="30" t="s">
        <v>51</v>
      </c>
      <c r="M145" s="30" t="n">
        <v>1989</v>
      </c>
      <c r="N145" s="30" t="s">
        <v>58</v>
      </c>
      <c r="O145" s="30" t="s">
        <v>240</v>
      </c>
      <c r="P145" s="30" t="n">
        <v>0</v>
      </c>
      <c r="Q145" s="30" t="n">
        <v>6</v>
      </c>
      <c r="R145" s="30" t="n">
        <v>202</v>
      </c>
      <c r="S145" s="30" t="n">
        <v>9315.9</v>
      </c>
      <c r="T145" s="30" t="n">
        <v>9315.9</v>
      </c>
      <c r="U145" s="30" t="n">
        <v>9281</v>
      </c>
      <c r="V145" s="30"/>
      <c r="W145" s="30" t="s">
        <v>53</v>
      </c>
      <c r="X145" s="30" t="s">
        <v>53</v>
      </c>
      <c r="Y145" s="30" t="s">
        <v>53</v>
      </c>
      <c r="Z145" s="30" t="s">
        <v>53</v>
      </c>
      <c r="AA145" s="30" t="s">
        <v>53</v>
      </c>
      <c r="AB145" s="30" t="s">
        <v>53</v>
      </c>
      <c r="AC145" s="30" t="s">
        <v>54</v>
      </c>
      <c r="AD145" s="30" t="s">
        <v>53</v>
      </c>
      <c r="AE145" s="30" t="s">
        <v>54</v>
      </c>
      <c r="AF145" s="30" t="n">
        <v>4</v>
      </c>
      <c r="AG145" s="30" t="n">
        <v>0</v>
      </c>
      <c r="AH145" s="30" t="n">
        <v>2</v>
      </c>
      <c r="AI145" s="30" t="n">
        <v>0</v>
      </c>
      <c r="AJ145" s="30" t="n">
        <v>2</v>
      </c>
      <c r="AK145" s="30" t="n">
        <v>0</v>
      </c>
      <c r="AL145" s="26"/>
    </row>
    <row collapsed="false" customFormat="false" customHeight="false" hidden="false" ht="14.5" outlineLevel="0" r="146">
      <c r="A146" s="30" t="n">
        <v>137</v>
      </c>
      <c r="B146" s="30" t="s">
        <v>45</v>
      </c>
      <c r="C146" s="30" t="s">
        <v>59</v>
      </c>
      <c r="D146" s="30" t="s">
        <v>238</v>
      </c>
      <c r="E146" s="30" t="n">
        <v>13</v>
      </c>
      <c r="F146" s="30" t="n">
        <v>1</v>
      </c>
      <c r="G146" s="30"/>
      <c r="H146" s="30" t="s">
        <v>241</v>
      </c>
      <c r="I146" s="30" t="s">
        <v>56</v>
      </c>
      <c r="J146" s="30"/>
      <c r="K146" s="30" t="s">
        <v>101</v>
      </c>
      <c r="L146" s="30" t="s">
        <v>57</v>
      </c>
      <c r="M146" s="30" t="n">
        <v>1978</v>
      </c>
      <c r="N146" s="30" t="s">
        <v>58</v>
      </c>
      <c r="O146" s="30" t="n">
        <v>5</v>
      </c>
      <c r="P146" s="30" t="n">
        <v>0</v>
      </c>
      <c r="Q146" s="30" t="n">
        <v>1</v>
      </c>
      <c r="R146" s="30" t="n">
        <v>19</v>
      </c>
      <c r="S146" s="30" t="n">
        <v>918</v>
      </c>
      <c r="T146" s="30" t="n">
        <v>918</v>
      </c>
      <c r="U146" s="30" t="n">
        <v>918</v>
      </c>
      <c r="V146" s="30"/>
      <c r="W146" s="30" t="s">
        <v>53</v>
      </c>
      <c r="X146" s="30" t="s">
        <v>53</v>
      </c>
      <c r="Y146" s="30" t="s">
        <v>53</v>
      </c>
      <c r="Z146" s="30" t="s">
        <v>53</v>
      </c>
      <c r="AA146" s="30" t="s">
        <v>53</v>
      </c>
      <c r="AB146" s="30" t="s">
        <v>53</v>
      </c>
      <c r="AC146" s="30" t="s">
        <v>54</v>
      </c>
      <c r="AD146" s="30" t="s">
        <v>53</v>
      </c>
      <c r="AE146" s="30" t="s">
        <v>54</v>
      </c>
      <c r="AF146" s="30" t="n">
        <v>0</v>
      </c>
      <c r="AG146" s="30" t="n">
        <v>0</v>
      </c>
      <c r="AH146" s="30" t="n">
        <v>1</v>
      </c>
      <c r="AI146" s="30" t="n">
        <v>0</v>
      </c>
      <c r="AJ146" s="30" t="n">
        <v>0</v>
      </c>
      <c r="AK146" s="30" t="n">
        <v>0</v>
      </c>
      <c r="AL146" s="26"/>
    </row>
    <row collapsed="false" customFormat="false" customHeight="false" hidden="false" ht="14.5" outlineLevel="0" r="147">
      <c r="A147" s="30" t="n">
        <v>138</v>
      </c>
      <c r="B147" s="30" t="s">
        <v>45</v>
      </c>
      <c r="C147" s="30" t="s">
        <v>59</v>
      </c>
      <c r="D147" s="30" t="s">
        <v>238</v>
      </c>
      <c r="E147" s="30" t="n">
        <v>15</v>
      </c>
      <c r="F147" s="30" t="n">
        <v>1</v>
      </c>
      <c r="G147" s="30"/>
      <c r="H147" s="30" t="s">
        <v>242</v>
      </c>
      <c r="I147" s="30" t="s">
        <v>56</v>
      </c>
      <c r="J147" s="30"/>
      <c r="K147" s="30" t="s">
        <v>101</v>
      </c>
      <c r="L147" s="30" t="s">
        <v>65</v>
      </c>
      <c r="M147" s="30" t="n">
        <v>1975</v>
      </c>
      <c r="N147" s="30" t="s">
        <v>58</v>
      </c>
      <c r="O147" s="30" t="n">
        <v>5</v>
      </c>
      <c r="P147" s="30" t="n">
        <v>0</v>
      </c>
      <c r="Q147" s="30" t="n">
        <v>3</v>
      </c>
      <c r="R147" s="30" t="n">
        <v>59</v>
      </c>
      <c r="S147" s="30" t="n">
        <v>2524</v>
      </c>
      <c r="T147" s="30" t="n">
        <v>2524</v>
      </c>
      <c r="U147" s="30" t="n">
        <v>2524</v>
      </c>
      <c r="V147" s="30"/>
      <c r="W147" s="30" t="s">
        <v>53</v>
      </c>
      <c r="X147" s="30" t="s">
        <v>53</v>
      </c>
      <c r="Y147" s="30" t="s">
        <v>53</v>
      </c>
      <c r="Z147" s="30" t="s">
        <v>53</v>
      </c>
      <c r="AA147" s="30" t="s">
        <v>53</v>
      </c>
      <c r="AB147" s="30" t="s">
        <v>53</v>
      </c>
      <c r="AC147" s="30" t="s">
        <v>54</v>
      </c>
      <c r="AD147" s="30" t="s">
        <v>53</v>
      </c>
      <c r="AE147" s="30" t="s">
        <v>54</v>
      </c>
      <c r="AF147" s="30" t="n">
        <v>0</v>
      </c>
      <c r="AG147" s="30" t="n">
        <v>0</v>
      </c>
      <c r="AH147" s="30" t="n">
        <v>1</v>
      </c>
      <c r="AI147" s="30" t="n">
        <v>0</v>
      </c>
      <c r="AJ147" s="30" t="n">
        <v>1</v>
      </c>
      <c r="AK147" s="30" t="n">
        <v>0</v>
      </c>
      <c r="AL147" s="26"/>
    </row>
    <row collapsed="false" customFormat="false" customHeight="false" hidden="false" ht="14.5" outlineLevel="0" r="148">
      <c r="A148" s="30" t="n">
        <v>139</v>
      </c>
      <c r="B148" s="30" t="s">
        <v>45</v>
      </c>
      <c r="C148" s="30" t="s">
        <v>59</v>
      </c>
      <c r="D148" s="30" t="s">
        <v>238</v>
      </c>
      <c r="E148" s="30" t="n">
        <v>17</v>
      </c>
      <c r="F148" s="30" t="n">
        <v>1</v>
      </c>
      <c r="G148" s="30"/>
      <c r="H148" s="30" t="s">
        <v>243</v>
      </c>
      <c r="I148" s="30" t="s">
        <v>56</v>
      </c>
      <c r="J148" s="30"/>
      <c r="K148" s="30" t="s">
        <v>101</v>
      </c>
      <c r="L148" s="30" t="s">
        <v>65</v>
      </c>
      <c r="M148" s="30" t="n">
        <v>1975</v>
      </c>
      <c r="N148" s="30" t="s">
        <v>58</v>
      </c>
      <c r="O148" s="30" t="n">
        <v>5</v>
      </c>
      <c r="P148" s="30" t="n">
        <v>0</v>
      </c>
      <c r="Q148" s="30" t="n">
        <v>3</v>
      </c>
      <c r="R148" s="30" t="n">
        <v>60</v>
      </c>
      <c r="S148" s="30" t="n">
        <v>2534</v>
      </c>
      <c r="T148" s="30" t="n">
        <v>2534</v>
      </c>
      <c r="U148" s="30" t="n">
        <v>2534</v>
      </c>
      <c r="V148" s="30"/>
      <c r="W148" s="30" t="s">
        <v>53</v>
      </c>
      <c r="X148" s="30" t="s">
        <v>53</v>
      </c>
      <c r="Y148" s="30" t="s">
        <v>53</v>
      </c>
      <c r="Z148" s="30" t="s">
        <v>53</v>
      </c>
      <c r="AA148" s="30" t="s">
        <v>53</v>
      </c>
      <c r="AB148" s="30" t="s">
        <v>53</v>
      </c>
      <c r="AC148" s="30" t="s">
        <v>54</v>
      </c>
      <c r="AD148" s="30" t="s">
        <v>53</v>
      </c>
      <c r="AE148" s="30" t="s">
        <v>54</v>
      </c>
      <c r="AF148" s="30" t="n">
        <v>0</v>
      </c>
      <c r="AG148" s="30" t="n">
        <v>0</v>
      </c>
      <c r="AH148" s="30" t="n">
        <v>0</v>
      </c>
      <c r="AI148" s="30" t="n">
        <v>0</v>
      </c>
      <c r="AJ148" s="30" t="n">
        <v>1</v>
      </c>
      <c r="AK148" s="30" t="n">
        <v>0</v>
      </c>
      <c r="AL148" s="26"/>
    </row>
    <row collapsed="false" customFormat="false" customHeight="false" hidden="false" ht="14.5" outlineLevel="0" r="149">
      <c r="A149" s="30" t="n">
        <v>140</v>
      </c>
      <c r="B149" s="30" t="s">
        <v>45</v>
      </c>
      <c r="C149" s="30" t="s">
        <v>59</v>
      </c>
      <c r="D149" s="30" t="s">
        <v>238</v>
      </c>
      <c r="E149" s="30" t="n">
        <v>17</v>
      </c>
      <c r="F149" s="30" t="n">
        <v>2</v>
      </c>
      <c r="G149" s="30"/>
      <c r="H149" s="30" t="s">
        <v>244</v>
      </c>
      <c r="I149" s="30" t="s">
        <v>56</v>
      </c>
      <c r="J149" s="30"/>
      <c r="K149" s="30" t="s">
        <v>101</v>
      </c>
      <c r="L149" s="30" t="s">
        <v>65</v>
      </c>
      <c r="M149" s="30" t="n">
        <v>1976</v>
      </c>
      <c r="N149" s="30" t="s">
        <v>58</v>
      </c>
      <c r="O149" s="30" t="n">
        <v>9</v>
      </c>
      <c r="P149" s="30" t="n">
        <v>0</v>
      </c>
      <c r="Q149" s="30" t="n">
        <v>2</v>
      </c>
      <c r="R149" s="30" t="n">
        <v>72</v>
      </c>
      <c r="S149" s="30" t="n">
        <v>3305</v>
      </c>
      <c r="T149" s="30" t="n">
        <v>3305</v>
      </c>
      <c r="U149" s="30" t="n">
        <v>3305</v>
      </c>
      <c r="V149" s="30"/>
      <c r="W149" s="30" t="s">
        <v>53</v>
      </c>
      <c r="X149" s="30" t="s">
        <v>53</v>
      </c>
      <c r="Y149" s="30" t="s">
        <v>53</v>
      </c>
      <c r="Z149" s="30" t="s">
        <v>53</v>
      </c>
      <c r="AA149" s="30" t="s">
        <v>53</v>
      </c>
      <c r="AB149" s="30" t="s">
        <v>53</v>
      </c>
      <c r="AC149" s="30" t="s">
        <v>54</v>
      </c>
      <c r="AD149" s="30" t="s">
        <v>53</v>
      </c>
      <c r="AE149" s="30" t="s">
        <v>54</v>
      </c>
      <c r="AF149" s="30" t="n">
        <v>2</v>
      </c>
      <c r="AG149" s="30" t="n">
        <v>0</v>
      </c>
      <c r="AH149" s="30" t="n">
        <v>1</v>
      </c>
      <c r="AI149" s="30" t="n">
        <v>0</v>
      </c>
      <c r="AJ149" s="30" t="n">
        <v>1</v>
      </c>
      <c r="AK149" s="30" t="n">
        <v>0</v>
      </c>
      <c r="AL149" s="26"/>
    </row>
    <row collapsed="false" customFormat="false" customHeight="false" hidden="false" ht="14.5" outlineLevel="0" r="150">
      <c r="A150" s="30" t="n">
        <v>141</v>
      </c>
      <c r="B150" s="30" t="s">
        <v>45</v>
      </c>
      <c r="C150" s="30" t="s">
        <v>59</v>
      </c>
      <c r="D150" s="30" t="s">
        <v>238</v>
      </c>
      <c r="E150" s="30" t="n">
        <v>19</v>
      </c>
      <c r="F150" s="30" t="n">
        <v>1</v>
      </c>
      <c r="G150" s="30"/>
      <c r="H150" s="30" t="s">
        <v>245</v>
      </c>
      <c r="I150" s="30" t="s">
        <v>56</v>
      </c>
      <c r="J150" s="30"/>
      <c r="K150" s="30" t="s">
        <v>101</v>
      </c>
      <c r="L150" s="30" t="s">
        <v>51</v>
      </c>
      <c r="M150" s="30" t="n">
        <v>1977</v>
      </c>
      <c r="N150" s="30" t="s">
        <v>58</v>
      </c>
      <c r="O150" s="30" t="s">
        <v>246</v>
      </c>
      <c r="P150" s="30" t="n">
        <v>0</v>
      </c>
      <c r="Q150" s="30" t="n">
        <v>3</v>
      </c>
      <c r="R150" s="30" t="n">
        <v>82</v>
      </c>
      <c r="S150" s="30" t="n">
        <v>4480</v>
      </c>
      <c r="T150" s="30" t="n">
        <v>4480</v>
      </c>
      <c r="U150" s="30" t="n">
        <v>4480</v>
      </c>
      <c r="V150" s="30"/>
      <c r="W150" s="30" t="s">
        <v>53</v>
      </c>
      <c r="X150" s="30" t="s">
        <v>53</v>
      </c>
      <c r="Y150" s="30" t="s">
        <v>53</v>
      </c>
      <c r="Z150" s="30" t="s">
        <v>53</v>
      </c>
      <c r="AA150" s="30" t="s">
        <v>53</v>
      </c>
      <c r="AB150" s="30" t="s">
        <v>53</v>
      </c>
      <c r="AC150" s="30" t="s">
        <v>54</v>
      </c>
      <c r="AD150" s="30" t="s">
        <v>53</v>
      </c>
      <c r="AE150" s="30" t="s">
        <v>54</v>
      </c>
      <c r="AF150" s="30" t="n">
        <v>2</v>
      </c>
      <c r="AG150" s="30" t="n">
        <v>0</v>
      </c>
      <c r="AH150" s="30" t="n">
        <v>1</v>
      </c>
      <c r="AI150" s="30" t="n">
        <v>0</v>
      </c>
      <c r="AJ150" s="30" t="n">
        <v>1</v>
      </c>
      <c r="AK150" s="30" t="n">
        <v>0</v>
      </c>
      <c r="AL150" s="26"/>
    </row>
    <row collapsed="false" customFormat="false" customHeight="false" hidden="false" ht="14.5" outlineLevel="0" r="151">
      <c r="A151" s="30" t="n">
        <v>142</v>
      </c>
      <c r="B151" s="30" t="s">
        <v>45</v>
      </c>
      <c r="C151" s="30" t="s">
        <v>59</v>
      </c>
      <c r="D151" s="30" t="s">
        <v>238</v>
      </c>
      <c r="E151" s="30" t="n">
        <v>21</v>
      </c>
      <c r="F151" s="30" t="n">
        <v>1</v>
      </c>
      <c r="G151" s="30"/>
      <c r="H151" s="30" t="s">
        <v>247</v>
      </c>
      <c r="I151" s="30" t="s">
        <v>56</v>
      </c>
      <c r="J151" s="30"/>
      <c r="K151" s="30" t="s">
        <v>101</v>
      </c>
      <c r="L151" s="30" t="s">
        <v>65</v>
      </c>
      <c r="M151" s="30" t="n">
        <v>1975</v>
      </c>
      <c r="N151" s="30" t="s">
        <v>58</v>
      </c>
      <c r="O151" s="30" t="n">
        <v>5</v>
      </c>
      <c r="P151" s="30" t="n">
        <v>0</v>
      </c>
      <c r="Q151" s="30" t="n">
        <v>3</v>
      </c>
      <c r="R151" s="30" t="n">
        <v>60</v>
      </c>
      <c r="S151" s="30" t="n">
        <v>2549</v>
      </c>
      <c r="T151" s="30" t="n">
        <v>2549</v>
      </c>
      <c r="U151" s="30" t="n">
        <v>2549</v>
      </c>
      <c r="V151" s="30"/>
      <c r="W151" s="30" t="s">
        <v>53</v>
      </c>
      <c r="X151" s="30" t="s">
        <v>53</v>
      </c>
      <c r="Y151" s="30" t="s">
        <v>53</v>
      </c>
      <c r="Z151" s="30" t="s">
        <v>53</v>
      </c>
      <c r="AA151" s="30" t="s">
        <v>53</v>
      </c>
      <c r="AB151" s="30" t="s">
        <v>53</v>
      </c>
      <c r="AC151" s="30" t="s">
        <v>54</v>
      </c>
      <c r="AD151" s="30" t="s">
        <v>53</v>
      </c>
      <c r="AE151" s="30" t="s">
        <v>54</v>
      </c>
      <c r="AF151" s="30" t="n">
        <v>0</v>
      </c>
      <c r="AG151" s="30" t="n">
        <v>0</v>
      </c>
      <c r="AH151" s="30" t="n">
        <v>1</v>
      </c>
      <c r="AI151" s="30" t="n">
        <v>0</v>
      </c>
      <c r="AJ151" s="30" t="n">
        <v>1</v>
      </c>
      <c r="AK151" s="30" t="n">
        <v>0</v>
      </c>
      <c r="AL151" s="26"/>
    </row>
    <row collapsed="false" customFormat="false" customHeight="false" hidden="false" ht="14.5" outlineLevel="0" r="152">
      <c r="A152" s="30" t="n">
        <v>143</v>
      </c>
      <c r="B152" s="30" t="s">
        <v>45</v>
      </c>
      <c r="C152" s="30" t="s">
        <v>59</v>
      </c>
      <c r="D152" s="30" t="s">
        <v>238</v>
      </c>
      <c r="E152" s="30" t="n">
        <v>23</v>
      </c>
      <c r="F152" s="30" t="n">
        <v>1</v>
      </c>
      <c r="G152" s="30"/>
      <c r="H152" s="30" t="s">
        <v>248</v>
      </c>
      <c r="I152" s="30" t="s">
        <v>56</v>
      </c>
      <c r="J152" s="30"/>
      <c r="K152" s="30" t="s">
        <v>101</v>
      </c>
      <c r="L152" s="30" t="s">
        <v>51</v>
      </c>
      <c r="M152" s="30" t="n">
        <v>1977</v>
      </c>
      <c r="N152" s="30" t="s">
        <v>58</v>
      </c>
      <c r="O152" s="30" t="s">
        <v>240</v>
      </c>
      <c r="P152" s="30" t="n">
        <v>0</v>
      </c>
      <c r="Q152" s="30" t="n">
        <v>6</v>
      </c>
      <c r="R152" s="30" t="n">
        <v>166</v>
      </c>
      <c r="S152" s="30" t="n">
        <v>8608</v>
      </c>
      <c r="T152" s="30" t="n">
        <v>8608</v>
      </c>
      <c r="U152" s="30" t="n">
        <v>8608</v>
      </c>
      <c r="V152" s="30"/>
      <c r="W152" s="30" t="s">
        <v>53</v>
      </c>
      <c r="X152" s="30" t="s">
        <v>53</v>
      </c>
      <c r="Y152" s="30" t="s">
        <v>53</v>
      </c>
      <c r="Z152" s="30" t="s">
        <v>53</v>
      </c>
      <c r="AA152" s="30" t="s">
        <v>53</v>
      </c>
      <c r="AB152" s="30" t="s">
        <v>53</v>
      </c>
      <c r="AC152" s="30" t="s">
        <v>54</v>
      </c>
      <c r="AD152" s="30" t="s">
        <v>53</v>
      </c>
      <c r="AE152" s="30" t="s">
        <v>54</v>
      </c>
      <c r="AF152" s="30" t="n">
        <v>4</v>
      </c>
      <c r="AG152" s="30" t="n">
        <v>0</v>
      </c>
      <c r="AH152" s="30" t="n">
        <v>2</v>
      </c>
      <c r="AI152" s="30" t="n">
        <v>1</v>
      </c>
      <c r="AJ152" s="30" t="n">
        <v>2</v>
      </c>
      <c r="AK152" s="30" t="n">
        <v>0</v>
      </c>
      <c r="AL152" s="26"/>
    </row>
    <row collapsed="false" customFormat="false" customHeight="false" hidden="false" ht="14.5" outlineLevel="0" r="153">
      <c r="A153" s="30" t="n">
        <v>144</v>
      </c>
      <c r="B153" s="30" t="s">
        <v>45</v>
      </c>
      <c r="C153" s="30" t="s">
        <v>206</v>
      </c>
      <c r="D153" s="30" t="s">
        <v>249</v>
      </c>
      <c r="E153" s="30" t="n">
        <v>3</v>
      </c>
      <c r="F153" s="30"/>
      <c r="G153" s="30"/>
      <c r="H153" s="30" t="s">
        <v>250</v>
      </c>
      <c r="I153" s="30" t="s">
        <v>56</v>
      </c>
      <c r="J153" s="30"/>
      <c r="K153" s="30" t="s">
        <v>64</v>
      </c>
      <c r="L153" s="30"/>
      <c r="M153" s="30" t="n">
        <v>1963</v>
      </c>
      <c r="N153" s="30" t="s">
        <v>58</v>
      </c>
      <c r="O153" s="30" t="n">
        <v>4</v>
      </c>
      <c r="P153" s="30" t="n">
        <v>0</v>
      </c>
      <c r="Q153" s="30" t="n">
        <v>4</v>
      </c>
      <c r="R153" s="30" t="n">
        <v>64</v>
      </c>
      <c r="S153" s="30" t="n">
        <v>2753.1</v>
      </c>
      <c r="T153" s="30" t="n">
        <v>2753.1</v>
      </c>
      <c r="U153" s="30" t="n">
        <v>2753.1</v>
      </c>
      <c r="V153" s="30"/>
      <c r="W153" s="30" t="s">
        <v>53</v>
      </c>
      <c r="X153" s="30" t="s">
        <v>53</v>
      </c>
      <c r="Y153" s="30" t="s">
        <v>54</v>
      </c>
      <c r="Z153" s="30" t="s">
        <v>53</v>
      </c>
      <c r="AA153" s="30" t="s">
        <v>53</v>
      </c>
      <c r="AB153" s="30" t="s">
        <v>53</v>
      </c>
      <c r="AC153" s="30" t="s">
        <v>53</v>
      </c>
      <c r="AD153" s="30" t="s">
        <v>53</v>
      </c>
      <c r="AE153" s="30" t="s">
        <v>54</v>
      </c>
      <c r="AF153" s="30" t="n">
        <v>0</v>
      </c>
      <c r="AG153" s="30" t="n">
        <v>0</v>
      </c>
      <c r="AH153" s="30" t="n">
        <v>1</v>
      </c>
      <c r="AI153" s="30" t="n">
        <v>0</v>
      </c>
      <c r="AJ153" s="30" t="n">
        <v>1</v>
      </c>
      <c r="AK153" s="30" t="n">
        <v>0</v>
      </c>
      <c r="AL153" s="26"/>
    </row>
    <row collapsed="false" customFormat="false" customHeight="false" hidden="false" ht="14.5" outlineLevel="0" r="154">
      <c r="A154" s="30" t="n">
        <v>145</v>
      </c>
      <c r="B154" s="30" t="s">
        <v>45</v>
      </c>
      <c r="C154" s="30" t="s">
        <v>206</v>
      </c>
      <c r="D154" s="30" t="s">
        <v>249</v>
      </c>
      <c r="E154" s="30" t="n">
        <v>5</v>
      </c>
      <c r="F154" s="30"/>
      <c r="G154" s="30"/>
      <c r="H154" s="30" t="s">
        <v>251</v>
      </c>
      <c r="I154" s="30" t="s">
        <v>56</v>
      </c>
      <c r="J154" s="30"/>
      <c r="K154" s="30" t="s">
        <v>64</v>
      </c>
      <c r="L154" s="30"/>
      <c r="M154" s="30" t="n">
        <v>1963</v>
      </c>
      <c r="N154" s="30" t="s">
        <v>58</v>
      </c>
      <c r="O154" s="30" t="n">
        <v>4</v>
      </c>
      <c r="P154" s="30" t="n">
        <v>0</v>
      </c>
      <c r="Q154" s="30" t="n">
        <v>4</v>
      </c>
      <c r="R154" s="30" t="n">
        <v>64</v>
      </c>
      <c r="S154" s="30" t="n">
        <v>2796.8</v>
      </c>
      <c r="T154" s="30" t="n">
        <v>2796.8</v>
      </c>
      <c r="U154" s="30" t="n">
        <v>2796.8</v>
      </c>
      <c r="V154" s="30"/>
      <c r="W154" s="30" t="s">
        <v>53</v>
      </c>
      <c r="X154" s="30" t="s">
        <v>53</v>
      </c>
      <c r="Y154" s="30" t="s">
        <v>54</v>
      </c>
      <c r="Z154" s="30" t="s">
        <v>53</v>
      </c>
      <c r="AA154" s="30" t="s">
        <v>53</v>
      </c>
      <c r="AB154" s="30" t="s">
        <v>53</v>
      </c>
      <c r="AC154" s="30" t="s">
        <v>53</v>
      </c>
      <c r="AD154" s="30" t="s">
        <v>53</v>
      </c>
      <c r="AE154" s="30" t="s">
        <v>54</v>
      </c>
      <c r="AF154" s="30" t="n">
        <v>0</v>
      </c>
      <c r="AG154" s="30" t="n">
        <v>0</v>
      </c>
      <c r="AH154" s="30" t="n">
        <v>1</v>
      </c>
      <c r="AI154" s="30" t="n">
        <v>0</v>
      </c>
      <c r="AJ154" s="30" t="n">
        <v>1</v>
      </c>
      <c r="AK154" s="30" t="n">
        <v>0</v>
      </c>
      <c r="AL154" s="26"/>
    </row>
    <row collapsed="false" customFormat="false" customHeight="false" hidden="false" ht="14.5" outlineLevel="0" r="155">
      <c r="A155" s="30" t="n">
        <v>146</v>
      </c>
      <c r="B155" s="30" t="s">
        <v>45</v>
      </c>
      <c r="C155" s="30" t="s">
        <v>206</v>
      </c>
      <c r="D155" s="30" t="s">
        <v>249</v>
      </c>
      <c r="E155" s="30" t="n">
        <v>7</v>
      </c>
      <c r="F155" s="30"/>
      <c r="G155" s="30"/>
      <c r="H155" s="30" t="s">
        <v>252</v>
      </c>
      <c r="I155" s="30" t="s">
        <v>56</v>
      </c>
      <c r="J155" s="30"/>
      <c r="K155" s="30" t="s">
        <v>101</v>
      </c>
      <c r="L155" s="30"/>
      <c r="M155" s="30" t="n">
        <v>1975</v>
      </c>
      <c r="N155" s="30" t="s">
        <v>58</v>
      </c>
      <c r="O155" s="30" t="n">
        <v>5</v>
      </c>
      <c r="P155" s="30" t="n">
        <v>0</v>
      </c>
      <c r="Q155" s="30" t="n">
        <v>4</v>
      </c>
      <c r="R155" s="30" t="n">
        <v>56</v>
      </c>
      <c r="S155" s="30" t="n">
        <v>4275.56</v>
      </c>
      <c r="T155" s="30" t="n">
        <v>4275.56</v>
      </c>
      <c r="U155" s="30" t="n">
        <v>2782.47</v>
      </c>
      <c r="V155" s="30" t="n">
        <v>1493.09</v>
      </c>
      <c r="W155" s="30" t="s">
        <v>53</v>
      </c>
      <c r="X155" s="30" t="s">
        <v>53</v>
      </c>
      <c r="Y155" s="30" t="s">
        <v>54</v>
      </c>
      <c r="Z155" s="30" t="s">
        <v>53</v>
      </c>
      <c r="AA155" s="30" t="s">
        <v>53</v>
      </c>
      <c r="AB155" s="30" t="s">
        <v>53</v>
      </c>
      <c r="AC155" s="30" t="s">
        <v>53</v>
      </c>
      <c r="AD155" s="30" t="s">
        <v>53</v>
      </c>
      <c r="AE155" s="30" t="s">
        <v>54</v>
      </c>
      <c r="AF155" s="30" t="n">
        <v>0</v>
      </c>
      <c r="AG155" s="30" t="n">
        <v>0</v>
      </c>
      <c r="AH155" s="30" t="n">
        <v>1</v>
      </c>
      <c r="AI155" s="30" t="n">
        <v>0</v>
      </c>
      <c r="AJ155" s="30" t="n">
        <v>1</v>
      </c>
      <c r="AK155" s="30" t="n">
        <v>0</v>
      </c>
      <c r="AL155" s="26"/>
    </row>
    <row collapsed="false" customFormat="false" customHeight="false" hidden="false" ht="14.5" outlineLevel="0" r="156">
      <c r="A156" s="30" t="n">
        <v>147</v>
      </c>
      <c r="B156" s="30" t="s">
        <v>45</v>
      </c>
      <c r="C156" s="30" t="s">
        <v>206</v>
      </c>
      <c r="D156" s="30" t="s">
        <v>249</v>
      </c>
      <c r="E156" s="30" t="n">
        <v>11</v>
      </c>
      <c r="F156" s="30"/>
      <c r="G156" s="30"/>
      <c r="H156" s="30" t="s">
        <v>253</v>
      </c>
      <c r="I156" s="30" t="s">
        <v>56</v>
      </c>
      <c r="J156" s="30"/>
      <c r="K156" s="30" t="s">
        <v>64</v>
      </c>
      <c r="L156" s="30"/>
      <c r="M156" s="30" t="n">
        <v>1964</v>
      </c>
      <c r="N156" s="30" t="s">
        <v>58</v>
      </c>
      <c r="O156" s="30" t="n">
        <v>4</v>
      </c>
      <c r="P156" s="30" t="n">
        <v>0</v>
      </c>
      <c r="Q156" s="30" t="n">
        <v>4</v>
      </c>
      <c r="R156" s="30" t="n">
        <v>64</v>
      </c>
      <c r="S156" s="30" t="n">
        <v>2830.23</v>
      </c>
      <c r="T156" s="30" t="n">
        <v>2830.23</v>
      </c>
      <c r="U156" s="30" t="n">
        <v>2830.23</v>
      </c>
      <c r="V156" s="30"/>
      <c r="W156" s="30" t="s">
        <v>53</v>
      </c>
      <c r="X156" s="30" t="s">
        <v>53</v>
      </c>
      <c r="Y156" s="30" t="s">
        <v>54</v>
      </c>
      <c r="Z156" s="30" t="s">
        <v>53</v>
      </c>
      <c r="AA156" s="30" t="s">
        <v>53</v>
      </c>
      <c r="AB156" s="30" t="s">
        <v>53</v>
      </c>
      <c r="AC156" s="30" t="s">
        <v>53</v>
      </c>
      <c r="AD156" s="30" t="s">
        <v>53</v>
      </c>
      <c r="AE156" s="30" t="s">
        <v>54</v>
      </c>
      <c r="AF156" s="30" t="n">
        <v>0</v>
      </c>
      <c r="AG156" s="30" t="n">
        <v>0</v>
      </c>
      <c r="AH156" s="30" t="n">
        <v>1</v>
      </c>
      <c r="AI156" s="30" t="n">
        <v>0</v>
      </c>
      <c r="AJ156" s="30" t="n">
        <v>1</v>
      </c>
      <c r="AK156" s="30" t="n">
        <v>0</v>
      </c>
      <c r="AL156" s="26"/>
    </row>
    <row collapsed="false" customFormat="false" customHeight="false" hidden="false" ht="14.5" outlineLevel="0" r="157">
      <c r="A157" s="30" t="n">
        <v>148</v>
      </c>
      <c r="B157" s="30" t="s">
        <v>45</v>
      </c>
      <c r="C157" s="30" t="s">
        <v>206</v>
      </c>
      <c r="D157" s="30" t="s">
        <v>249</v>
      </c>
      <c r="E157" s="30" t="n">
        <v>13</v>
      </c>
      <c r="F157" s="30"/>
      <c r="G157" s="30"/>
      <c r="H157" s="30" t="s">
        <v>254</v>
      </c>
      <c r="I157" s="30" t="s">
        <v>56</v>
      </c>
      <c r="J157" s="30"/>
      <c r="K157" s="30" t="s">
        <v>64</v>
      </c>
      <c r="L157" s="30"/>
      <c r="M157" s="30" t="n">
        <v>1964</v>
      </c>
      <c r="N157" s="30" t="s">
        <v>58</v>
      </c>
      <c r="O157" s="30" t="n">
        <v>4</v>
      </c>
      <c r="P157" s="30" t="n">
        <v>0</v>
      </c>
      <c r="Q157" s="30" t="n">
        <v>4</v>
      </c>
      <c r="R157" s="30" t="n">
        <v>63</v>
      </c>
      <c r="S157" s="30" t="n">
        <v>2792.02</v>
      </c>
      <c r="T157" s="30" t="n">
        <v>2792.02</v>
      </c>
      <c r="U157" s="30" t="n">
        <v>2792.02</v>
      </c>
      <c r="V157" s="30"/>
      <c r="W157" s="30" t="s">
        <v>53</v>
      </c>
      <c r="X157" s="30" t="s">
        <v>53</v>
      </c>
      <c r="Y157" s="30" t="s">
        <v>54</v>
      </c>
      <c r="Z157" s="30" t="s">
        <v>53</v>
      </c>
      <c r="AA157" s="30" t="s">
        <v>53</v>
      </c>
      <c r="AB157" s="30" t="s">
        <v>53</v>
      </c>
      <c r="AC157" s="30" t="s">
        <v>53</v>
      </c>
      <c r="AD157" s="30" t="s">
        <v>53</v>
      </c>
      <c r="AE157" s="30" t="s">
        <v>54</v>
      </c>
      <c r="AF157" s="30" t="n">
        <v>0</v>
      </c>
      <c r="AG157" s="30" t="n">
        <v>0</v>
      </c>
      <c r="AH157" s="30" t="n">
        <v>1</v>
      </c>
      <c r="AI157" s="30" t="n">
        <v>0</v>
      </c>
      <c r="AJ157" s="30" t="n">
        <v>1</v>
      </c>
      <c r="AK157" s="30" t="n">
        <v>0</v>
      </c>
      <c r="AL157" s="26"/>
    </row>
    <row collapsed="false" customFormat="false" customHeight="false" hidden="false" ht="14.5" outlineLevel="0" r="158">
      <c r="A158" s="30" t="n">
        <v>149</v>
      </c>
      <c r="B158" s="30" t="s">
        <v>45</v>
      </c>
      <c r="C158" s="30" t="s">
        <v>59</v>
      </c>
      <c r="D158" s="30" t="s">
        <v>255</v>
      </c>
      <c r="E158" s="30" t="n">
        <v>5</v>
      </c>
      <c r="F158" s="30"/>
      <c r="G158" s="30"/>
      <c r="H158" s="30" t="s">
        <v>256</v>
      </c>
      <c r="I158" s="30" t="s">
        <v>56</v>
      </c>
      <c r="J158" s="30"/>
      <c r="K158" s="30" t="s">
        <v>64</v>
      </c>
      <c r="L158" s="30" t="s">
        <v>57</v>
      </c>
      <c r="M158" s="30" t="n">
        <v>1971</v>
      </c>
      <c r="N158" s="30" t="s">
        <v>58</v>
      </c>
      <c r="O158" s="30" t="n">
        <v>3</v>
      </c>
      <c r="P158" s="30" t="n">
        <v>0</v>
      </c>
      <c r="Q158" s="30" t="n">
        <v>3</v>
      </c>
      <c r="R158" s="30" t="n">
        <v>36</v>
      </c>
      <c r="S158" s="30" t="n">
        <v>1500</v>
      </c>
      <c r="T158" s="30" t="n">
        <v>1500</v>
      </c>
      <c r="U158" s="30" t="n">
        <v>1500</v>
      </c>
      <c r="V158" s="30"/>
      <c r="W158" s="30" t="s">
        <v>53</v>
      </c>
      <c r="X158" s="30" t="s">
        <v>53</v>
      </c>
      <c r="Y158" s="30" t="s">
        <v>53</v>
      </c>
      <c r="Z158" s="30" t="s">
        <v>53</v>
      </c>
      <c r="AA158" s="30" t="s">
        <v>53</v>
      </c>
      <c r="AB158" s="30" t="s">
        <v>53</v>
      </c>
      <c r="AC158" s="30" t="s">
        <v>53</v>
      </c>
      <c r="AD158" s="30" t="s">
        <v>53</v>
      </c>
      <c r="AE158" s="30" t="s">
        <v>54</v>
      </c>
      <c r="AF158" s="30" t="n">
        <v>0</v>
      </c>
      <c r="AG158" s="30" t="n">
        <v>0</v>
      </c>
      <c r="AH158" s="30" t="n">
        <v>2</v>
      </c>
      <c r="AI158" s="30" t="n">
        <v>0</v>
      </c>
      <c r="AJ158" s="30" t="n">
        <v>1</v>
      </c>
      <c r="AK158" s="30" t="n">
        <v>0</v>
      </c>
      <c r="AL158" s="26"/>
    </row>
    <row collapsed="false" customFormat="false" customHeight="false" hidden="false" ht="14.5" outlineLevel="0" r="159">
      <c r="A159" s="30" t="n">
        <v>150</v>
      </c>
      <c r="B159" s="30" t="s">
        <v>45</v>
      </c>
      <c r="C159" s="30" t="s">
        <v>59</v>
      </c>
      <c r="D159" s="30" t="s">
        <v>255</v>
      </c>
      <c r="E159" s="30" t="n">
        <v>6</v>
      </c>
      <c r="F159" s="30"/>
      <c r="G159" s="30"/>
      <c r="H159" s="30" t="s">
        <v>257</v>
      </c>
      <c r="I159" s="30" t="s">
        <v>56</v>
      </c>
      <c r="J159" s="30"/>
      <c r="K159" s="30" t="s">
        <v>64</v>
      </c>
      <c r="L159" s="30" t="s">
        <v>57</v>
      </c>
      <c r="M159" s="30" t="n">
        <v>1964</v>
      </c>
      <c r="N159" s="30" t="s">
        <v>58</v>
      </c>
      <c r="O159" s="30" t="n">
        <v>4</v>
      </c>
      <c r="P159" s="30" t="n">
        <v>0</v>
      </c>
      <c r="Q159" s="30" t="n">
        <v>4</v>
      </c>
      <c r="R159" s="30" t="n">
        <v>48</v>
      </c>
      <c r="S159" s="30" t="n">
        <v>2854.3</v>
      </c>
      <c r="T159" s="30" t="n">
        <v>2854.3</v>
      </c>
      <c r="U159" s="30" t="n">
        <v>2121</v>
      </c>
      <c r="V159" s="30" t="n">
        <v>733.3</v>
      </c>
      <c r="W159" s="30" t="s">
        <v>53</v>
      </c>
      <c r="X159" s="30" t="s">
        <v>53</v>
      </c>
      <c r="Y159" s="30" t="s">
        <v>53</v>
      </c>
      <c r="Z159" s="30" t="s">
        <v>53</v>
      </c>
      <c r="AA159" s="30" t="s">
        <v>53</v>
      </c>
      <c r="AB159" s="30" t="s">
        <v>53</v>
      </c>
      <c r="AC159" s="30" t="s">
        <v>53</v>
      </c>
      <c r="AD159" s="30" t="s">
        <v>53</v>
      </c>
      <c r="AE159" s="30" t="s">
        <v>54</v>
      </c>
      <c r="AF159" s="30" t="n">
        <v>0</v>
      </c>
      <c r="AG159" s="30" t="n">
        <v>0</v>
      </c>
      <c r="AH159" s="30" t="n">
        <v>1</v>
      </c>
      <c r="AI159" s="30" t="n">
        <v>0</v>
      </c>
      <c r="AJ159" s="30" t="n">
        <v>1</v>
      </c>
      <c r="AK159" s="30" t="n">
        <v>0</v>
      </c>
      <c r="AL159" s="26"/>
    </row>
    <row collapsed="false" customFormat="false" customHeight="false" hidden="false" ht="14.5" outlineLevel="0" r="160">
      <c r="A160" s="30" t="n">
        <v>151</v>
      </c>
      <c r="B160" s="30" t="s">
        <v>45</v>
      </c>
      <c r="C160" s="30" t="s">
        <v>59</v>
      </c>
      <c r="D160" s="30" t="s">
        <v>255</v>
      </c>
      <c r="E160" s="30" t="n">
        <v>7</v>
      </c>
      <c r="F160" s="30"/>
      <c r="G160" s="30"/>
      <c r="H160" s="30" t="s">
        <v>258</v>
      </c>
      <c r="I160" s="30" t="s">
        <v>56</v>
      </c>
      <c r="J160" s="30"/>
      <c r="K160" s="30" t="s">
        <v>64</v>
      </c>
      <c r="L160" s="30" t="s">
        <v>57</v>
      </c>
      <c r="M160" s="30" t="n">
        <v>1972</v>
      </c>
      <c r="N160" s="30" t="s">
        <v>58</v>
      </c>
      <c r="O160" s="30" t="n">
        <v>3</v>
      </c>
      <c r="P160" s="30" t="n">
        <v>0</v>
      </c>
      <c r="Q160" s="30" t="n">
        <v>2</v>
      </c>
      <c r="R160" s="30" t="n">
        <v>24</v>
      </c>
      <c r="S160" s="30" t="n">
        <v>948</v>
      </c>
      <c r="T160" s="30" t="n">
        <v>948</v>
      </c>
      <c r="U160" s="30" t="n">
        <v>948</v>
      </c>
      <c r="V160" s="30"/>
      <c r="W160" s="30" t="s">
        <v>53</v>
      </c>
      <c r="X160" s="30" t="s">
        <v>53</v>
      </c>
      <c r="Y160" s="30" t="s">
        <v>53</v>
      </c>
      <c r="Z160" s="30" t="s">
        <v>53</v>
      </c>
      <c r="AA160" s="30" t="s">
        <v>53</v>
      </c>
      <c r="AB160" s="30" t="s">
        <v>53</v>
      </c>
      <c r="AC160" s="30" t="s">
        <v>53</v>
      </c>
      <c r="AD160" s="30" t="s">
        <v>53</v>
      </c>
      <c r="AE160" s="30" t="s">
        <v>54</v>
      </c>
      <c r="AF160" s="30" t="n">
        <v>0</v>
      </c>
      <c r="AG160" s="30" t="n">
        <v>0</v>
      </c>
      <c r="AH160" s="30" t="n">
        <v>0</v>
      </c>
      <c r="AI160" s="30" t="n">
        <v>0</v>
      </c>
      <c r="AJ160" s="30" t="n">
        <v>1</v>
      </c>
      <c r="AK160" s="30" t="n">
        <v>0</v>
      </c>
      <c r="AL160" s="26"/>
    </row>
    <row collapsed="false" customFormat="false" customHeight="false" hidden="false" ht="14.5" outlineLevel="0" r="161">
      <c r="A161" s="30" t="n">
        <v>152</v>
      </c>
      <c r="B161" s="30" t="s">
        <v>45</v>
      </c>
      <c r="C161" s="30" t="s">
        <v>59</v>
      </c>
      <c r="D161" s="30" t="s">
        <v>255</v>
      </c>
      <c r="E161" s="30" t="n">
        <v>9</v>
      </c>
      <c r="F161" s="30" t="s">
        <v>67</v>
      </c>
      <c r="G161" s="30"/>
      <c r="H161" s="30" t="s">
        <v>259</v>
      </c>
      <c r="I161" s="30" t="s">
        <v>56</v>
      </c>
      <c r="J161" s="30"/>
      <c r="K161" s="30" t="s">
        <v>64</v>
      </c>
      <c r="L161" s="30" t="s">
        <v>57</v>
      </c>
      <c r="M161" s="30" t="n">
        <v>1962</v>
      </c>
      <c r="N161" s="30" t="s">
        <v>58</v>
      </c>
      <c r="O161" s="30" t="n">
        <v>4</v>
      </c>
      <c r="P161" s="30" t="n">
        <v>0</v>
      </c>
      <c r="Q161" s="30" t="n">
        <v>3</v>
      </c>
      <c r="R161" s="30" t="n">
        <v>48</v>
      </c>
      <c r="S161" s="30" t="n">
        <v>1973</v>
      </c>
      <c r="T161" s="30" t="n">
        <v>1973</v>
      </c>
      <c r="U161" s="30" t="n">
        <v>1973</v>
      </c>
      <c r="V161" s="30"/>
      <c r="W161" s="30" t="s">
        <v>53</v>
      </c>
      <c r="X161" s="30" t="s">
        <v>53</v>
      </c>
      <c r="Y161" s="30" t="s">
        <v>53</v>
      </c>
      <c r="Z161" s="30" t="s">
        <v>53</v>
      </c>
      <c r="AA161" s="30" t="s">
        <v>53</v>
      </c>
      <c r="AB161" s="30" t="s">
        <v>53</v>
      </c>
      <c r="AC161" s="30" t="s">
        <v>53</v>
      </c>
      <c r="AD161" s="30" t="s">
        <v>53</v>
      </c>
      <c r="AE161" s="30" t="s">
        <v>54</v>
      </c>
      <c r="AF161" s="30" t="n">
        <v>0</v>
      </c>
      <c r="AG161" s="30" t="n">
        <v>0</v>
      </c>
      <c r="AH161" s="30" t="n">
        <v>0</v>
      </c>
      <c r="AI161" s="30" t="n">
        <v>0</v>
      </c>
      <c r="AJ161" s="30" t="n">
        <v>0</v>
      </c>
      <c r="AK161" s="30" t="n">
        <v>0</v>
      </c>
      <c r="AL161" s="26"/>
    </row>
    <row collapsed="false" customFormat="false" customHeight="false" hidden="false" ht="14.5" outlineLevel="0" r="162">
      <c r="A162" s="30" t="n">
        <v>153</v>
      </c>
      <c r="B162" s="30" t="s">
        <v>45</v>
      </c>
      <c r="C162" s="30" t="s">
        <v>59</v>
      </c>
      <c r="D162" s="30" t="s">
        <v>255</v>
      </c>
      <c r="E162" s="30" t="s">
        <v>260</v>
      </c>
      <c r="F162" s="30"/>
      <c r="G162" s="30"/>
      <c r="H162" s="30" t="s">
        <v>261</v>
      </c>
      <c r="I162" s="30" t="s">
        <v>56</v>
      </c>
      <c r="J162" s="30"/>
      <c r="K162" s="30" t="s">
        <v>64</v>
      </c>
      <c r="L162" s="30" t="s">
        <v>57</v>
      </c>
      <c r="M162" s="30" t="n">
        <v>1962</v>
      </c>
      <c r="N162" s="30" t="s">
        <v>58</v>
      </c>
      <c r="O162" s="30" t="n">
        <v>3</v>
      </c>
      <c r="P162" s="30" t="n">
        <v>0</v>
      </c>
      <c r="Q162" s="30" t="n">
        <v>3</v>
      </c>
      <c r="R162" s="30" t="n">
        <v>36</v>
      </c>
      <c r="S162" s="30" t="n">
        <v>1517</v>
      </c>
      <c r="T162" s="30" t="n">
        <v>1517</v>
      </c>
      <c r="U162" s="30" t="n">
        <v>1517</v>
      </c>
      <c r="V162" s="30"/>
      <c r="W162" s="30" t="s">
        <v>53</v>
      </c>
      <c r="X162" s="30" t="s">
        <v>53</v>
      </c>
      <c r="Y162" s="30" t="s">
        <v>53</v>
      </c>
      <c r="Z162" s="30" t="s">
        <v>53</v>
      </c>
      <c r="AA162" s="30" t="s">
        <v>53</v>
      </c>
      <c r="AB162" s="30" t="s">
        <v>53</v>
      </c>
      <c r="AC162" s="30" t="s">
        <v>53</v>
      </c>
      <c r="AD162" s="30" t="s">
        <v>53</v>
      </c>
      <c r="AE162" s="30" t="s">
        <v>54</v>
      </c>
      <c r="AF162" s="30" t="n">
        <v>0</v>
      </c>
      <c r="AG162" s="30" t="n">
        <v>0</v>
      </c>
      <c r="AH162" s="30" t="n">
        <v>1</v>
      </c>
      <c r="AI162" s="30" t="n">
        <v>0</v>
      </c>
      <c r="AJ162" s="30" t="n">
        <v>1</v>
      </c>
      <c r="AK162" s="30" t="n">
        <v>0</v>
      </c>
      <c r="AL162" s="26"/>
    </row>
    <row collapsed="false" customFormat="false" customHeight="false" hidden="false" ht="14.5" outlineLevel="0" r="163">
      <c r="A163" s="30" t="n">
        <v>154</v>
      </c>
      <c r="B163" s="30" t="s">
        <v>45</v>
      </c>
      <c r="C163" s="30" t="s">
        <v>46</v>
      </c>
      <c r="D163" s="30" t="s">
        <v>262</v>
      </c>
      <c r="E163" s="30" t="n">
        <v>31</v>
      </c>
      <c r="F163" s="30"/>
      <c r="G163" s="30"/>
      <c r="H163" s="30" t="s">
        <v>263</v>
      </c>
      <c r="I163" s="30" t="s">
        <v>56</v>
      </c>
      <c r="J163" s="30"/>
      <c r="K163" s="30" t="s">
        <v>57</v>
      </c>
      <c r="L163" s="30" t="s">
        <v>51</v>
      </c>
      <c r="M163" s="30" t="n">
        <v>1917</v>
      </c>
      <c r="N163" s="30" t="s">
        <v>58</v>
      </c>
      <c r="O163" s="30" t="n">
        <v>3</v>
      </c>
      <c r="P163" s="30" t="n">
        <v>0</v>
      </c>
      <c r="Q163" s="30" t="n">
        <v>1</v>
      </c>
      <c r="R163" s="30" t="n">
        <v>12</v>
      </c>
      <c r="S163" s="30" t="n">
        <v>889.2</v>
      </c>
      <c r="T163" s="30" t="n">
        <v>889.2</v>
      </c>
      <c r="U163" s="30" t="n">
        <v>638.7</v>
      </c>
      <c r="V163" s="30" t="n">
        <v>250.5</v>
      </c>
      <c r="W163" s="30" t="s">
        <v>53</v>
      </c>
      <c r="X163" s="30" t="s">
        <v>53</v>
      </c>
      <c r="Y163" s="30" t="s">
        <v>54</v>
      </c>
      <c r="Z163" s="30" t="s">
        <v>53</v>
      </c>
      <c r="AA163" s="30" t="s">
        <v>53</v>
      </c>
      <c r="AB163" s="30" t="s">
        <v>53</v>
      </c>
      <c r="AC163" s="30" t="s">
        <v>53</v>
      </c>
      <c r="AD163" s="30" t="s">
        <v>53</v>
      </c>
      <c r="AE163" s="30" t="s">
        <v>54</v>
      </c>
      <c r="AF163" s="30" t="n">
        <v>0</v>
      </c>
      <c r="AG163" s="30" t="n">
        <v>1</v>
      </c>
      <c r="AH163" s="30" t="n">
        <v>1</v>
      </c>
      <c r="AI163" s="30" t="n">
        <v>0</v>
      </c>
      <c r="AJ163" s="30" t="n">
        <v>1</v>
      </c>
      <c r="AK163" s="30" t="n">
        <v>0</v>
      </c>
      <c r="AL163" s="26"/>
    </row>
    <row collapsed="false" customFormat="true" customHeight="false" hidden="false" ht="14.5" outlineLevel="0" r="164" s="2">
      <c r="A164" s="30" t="n">
        <v>155</v>
      </c>
      <c r="B164" s="30" t="s">
        <v>45</v>
      </c>
      <c r="C164" s="30" t="s">
        <v>46</v>
      </c>
      <c r="D164" s="30" t="s">
        <v>262</v>
      </c>
      <c r="E164" s="30" t="n">
        <v>32</v>
      </c>
      <c r="F164" s="30"/>
      <c r="G164" s="30"/>
      <c r="H164" s="30" t="s">
        <v>264</v>
      </c>
      <c r="I164" s="30" t="s">
        <v>56</v>
      </c>
      <c r="J164" s="30"/>
      <c r="K164" s="30" t="s">
        <v>57</v>
      </c>
      <c r="L164" s="30" t="s">
        <v>51</v>
      </c>
      <c r="M164" s="30" t="n">
        <v>1917</v>
      </c>
      <c r="N164" s="30" t="s">
        <v>58</v>
      </c>
      <c r="O164" s="30" t="n">
        <v>4</v>
      </c>
      <c r="P164" s="30" t="n">
        <v>0</v>
      </c>
      <c r="Q164" s="30" t="n">
        <v>1</v>
      </c>
      <c r="R164" s="30" t="n">
        <v>10</v>
      </c>
      <c r="S164" s="30" t="n">
        <v>667.2</v>
      </c>
      <c r="T164" s="30" t="n">
        <v>667.2</v>
      </c>
      <c r="U164" s="30" t="n">
        <v>501.6</v>
      </c>
      <c r="V164" s="30" t="n">
        <v>165.6</v>
      </c>
      <c r="W164" s="30" t="s">
        <v>53</v>
      </c>
      <c r="X164" s="30" t="s">
        <v>53</v>
      </c>
      <c r="Y164" s="30" t="s">
        <v>54</v>
      </c>
      <c r="Z164" s="30" t="s">
        <v>53</v>
      </c>
      <c r="AA164" s="30" t="s">
        <v>53</v>
      </c>
      <c r="AB164" s="30" t="s">
        <v>53</v>
      </c>
      <c r="AC164" s="30" t="s">
        <v>53</v>
      </c>
      <c r="AD164" s="30" t="s">
        <v>53</v>
      </c>
      <c r="AE164" s="30" t="s">
        <v>54</v>
      </c>
      <c r="AF164" s="30" t="n">
        <v>0</v>
      </c>
      <c r="AG164" s="30" t="n">
        <v>0</v>
      </c>
      <c r="AH164" s="30" t="n">
        <v>1</v>
      </c>
      <c r="AI164" s="30" t="n">
        <v>0</v>
      </c>
      <c r="AJ164" s="30" t="n">
        <v>1</v>
      </c>
      <c r="AK164" s="30" t="n">
        <v>0</v>
      </c>
      <c r="AL164" s="31"/>
    </row>
    <row collapsed="false" customFormat="false" customHeight="false" hidden="false" ht="14.5" outlineLevel="0" r="165">
      <c r="A165" s="30" t="n">
        <v>156</v>
      </c>
      <c r="B165" s="30" t="s">
        <v>45</v>
      </c>
      <c r="C165" s="30" t="s">
        <v>46</v>
      </c>
      <c r="D165" s="30" t="s">
        <v>262</v>
      </c>
      <c r="E165" s="30" t="n">
        <v>34</v>
      </c>
      <c r="F165" s="30"/>
      <c r="G165" s="30"/>
      <c r="H165" s="30" t="s">
        <v>265</v>
      </c>
      <c r="I165" s="30" t="s">
        <v>56</v>
      </c>
      <c r="J165" s="30"/>
      <c r="K165" s="30" t="s">
        <v>57</v>
      </c>
      <c r="L165" s="30" t="s">
        <v>51</v>
      </c>
      <c r="M165" s="30" t="n">
        <v>1917</v>
      </c>
      <c r="N165" s="30" t="s">
        <v>58</v>
      </c>
      <c r="O165" s="30" t="n">
        <v>3</v>
      </c>
      <c r="P165" s="30" t="n">
        <v>0</v>
      </c>
      <c r="Q165" s="30" t="n">
        <v>1</v>
      </c>
      <c r="R165" s="30" t="n">
        <v>9</v>
      </c>
      <c r="S165" s="30" t="n">
        <v>853.2</v>
      </c>
      <c r="T165" s="30" t="n">
        <v>853.2</v>
      </c>
      <c r="U165" s="30" t="n">
        <v>555.7</v>
      </c>
      <c r="V165" s="30" t="n">
        <v>297.5</v>
      </c>
      <c r="W165" s="30" t="s">
        <v>53</v>
      </c>
      <c r="X165" s="30" t="s">
        <v>53</v>
      </c>
      <c r="Y165" s="30" t="s">
        <v>54</v>
      </c>
      <c r="Z165" s="30" t="s">
        <v>53</v>
      </c>
      <c r="AA165" s="30" t="s">
        <v>53</v>
      </c>
      <c r="AB165" s="30" t="s">
        <v>53</v>
      </c>
      <c r="AC165" s="30" t="s">
        <v>53</v>
      </c>
      <c r="AD165" s="30" t="s">
        <v>53</v>
      </c>
      <c r="AE165" s="30" t="s">
        <v>54</v>
      </c>
      <c r="AF165" s="30" t="n">
        <v>0</v>
      </c>
      <c r="AG165" s="30" t="n">
        <v>0</v>
      </c>
      <c r="AH165" s="30" t="n">
        <v>1</v>
      </c>
      <c r="AI165" s="30" t="n">
        <v>0</v>
      </c>
      <c r="AJ165" s="30" t="n">
        <v>1</v>
      </c>
      <c r="AK165" s="30" t="n">
        <v>0</v>
      </c>
      <c r="AL165" s="26"/>
    </row>
    <row collapsed="false" customFormat="false" customHeight="false" hidden="false" ht="14.5" outlineLevel="0" r="166">
      <c r="A166" s="30" t="n">
        <v>157</v>
      </c>
      <c r="B166" s="30" t="s">
        <v>45</v>
      </c>
      <c r="C166" s="30" t="s">
        <v>266</v>
      </c>
      <c r="D166" s="30" t="s">
        <v>262</v>
      </c>
      <c r="E166" s="30" t="n">
        <v>36</v>
      </c>
      <c r="F166" s="30"/>
      <c r="G166" s="30"/>
      <c r="H166" s="30" t="s">
        <v>267</v>
      </c>
      <c r="I166" s="30" t="s">
        <v>56</v>
      </c>
      <c r="J166" s="30"/>
      <c r="K166" s="30"/>
      <c r="L166" s="30"/>
      <c r="M166" s="30"/>
      <c r="N166" s="30"/>
      <c r="O166" s="30"/>
      <c r="P166" s="30"/>
      <c r="Q166" s="30"/>
      <c r="R166" s="30"/>
      <c r="S166" s="30" t="n">
        <v>521.3</v>
      </c>
      <c r="T166" s="30"/>
      <c r="U166" s="30"/>
      <c r="V166" s="30"/>
      <c r="W166" s="30" t="s">
        <v>53</v>
      </c>
      <c r="X166" s="30" t="s">
        <v>53</v>
      </c>
      <c r="Y166" s="30" t="s">
        <v>54</v>
      </c>
      <c r="Z166" s="30" t="s">
        <v>53</v>
      </c>
      <c r="AA166" s="30" t="s">
        <v>53</v>
      </c>
      <c r="AB166" s="30" t="s">
        <v>53</v>
      </c>
      <c r="AC166" s="30" t="s">
        <v>53</v>
      </c>
      <c r="AD166" s="30" t="s">
        <v>53</v>
      </c>
      <c r="AE166" s="30" t="s">
        <v>54</v>
      </c>
      <c r="AF166" s="30" t="n">
        <v>0</v>
      </c>
      <c r="AG166" s="30" t="n">
        <v>0</v>
      </c>
      <c r="AH166" s="30" t="n">
        <v>1</v>
      </c>
      <c r="AI166" s="30" t="n">
        <v>0</v>
      </c>
      <c r="AJ166" s="30"/>
      <c r="AK166" s="30"/>
      <c r="AL166" s="26"/>
    </row>
    <row collapsed="false" customFormat="false" customHeight="false" hidden="false" ht="14.5" outlineLevel="0" r="167">
      <c r="A167" s="30" t="n">
        <v>158</v>
      </c>
      <c r="B167" s="30" t="s">
        <v>45</v>
      </c>
      <c r="C167" s="30" t="s">
        <v>46</v>
      </c>
      <c r="D167" s="30" t="s">
        <v>262</v>
      </c>
      <c r="E167" s="30" t="n">
        <v>38</v>
      </c>
      <c r="F167" s="30"/>
      <c r="G167" s="30"/>
      <c r="H167" s="30" t="s">
        <v>268</v>
      </c>
      <c r="I167" s="30" t="s">
        <v>56</v>
      </c>
      <c r="J167" s="30"/>
      <c r="K167" s="30" t="s">
        <v>57</v>
      </c>
      <c r="L167" s="30" t="s">
        <v>51</v>
      </c>
      <c r="M167" s="30" t="n">
        <v>1917</v>
      </c>
      <c r="N167" s="30" t="s">
        <v>58</v>
      </c>
      <c r="O167" s="30" t="n">
        <v>3</v>
      </c>
      <c r="P167" s="30" t="n">
        <v>0</v>
      </c>
      <c r="Q167" s="30" t="n">
        <v>1</v>
      </c>
      <c r="R167" s="30" t="n">
        <v>10</v>
      </c>
      <c r="S167" s="30" t="n">
        <v>886.5</v>
      </c>
      <c r="T167" s="30" t="n">
        <v>886.5</v>
      </c>
      <c r="U167" s="30" t="n">
        <v>582.9</v>
      </c>
      <c r="V167" s="30" t="n">
        <v>303.6</v>
      </c>
      <c r="W167" s="30" t="s">
        <v>53</v>
      </c>
      <c r="X167" s="30" t="s">
        <v>53</v>
      </c>
      <c r="Y167" s="30" t="s">
        <v>54</v>
      </c>
      <c r="Z167" s="30" t="s">
        <v>53</v>
      </c>
      <c r="AA167" s="30" t="s">
        <v>53</v>
      </c>
      <c r="AB167" s="30" t="s">
        <v>53</v>
      </c>
      <c r="AC167" s="30" t="s">
        <v>53</v>
      </c>
      <c r="AD167" s="30" t="s">
        <v>53</v>
      </c>
      <c r="AE167" s="30" t="s">
        <v>54</v>
      </c>
      <c r="AF167" s="30" t="n">
        <v>0</v>
      </c>
      <c r="AG167" s="30" t="n">
        <v>0</v>
      </c>
      <c r="AH167" s="30" t="n">
        <v>0</v>
      </c>
      <c r="AI167" s="30" t="n">
        <v>0</v>
      </c>
      <c r="AJ167" s="30" t="n">
        <v>1</v>
      </c>
      <c r="AK167" s="30" t="n">
        <v>0</v>
      </c>
      <c r="AL167" s="26"/>
    </row>
    <row collapsed="false" customFormat="false" customHeight="false" hidden="false" ht="14.5" outlineLevel="0" r="168">
      <c r="A168" s="30" t="n">
        <v>159</v>
      </c>
      <c r="B168" s="30" t="s">
        <v>45</v>
      </c>
      <c r="C168" s="30" t="s">
        <v>46</v>
      </c>
      <c r="D168" s="30" t="s">
        <v>262</v>
      </c>
      <c r="E168" s="30" t="s">
        <v>269</v>
      </c>
      <c r="F168" s="30"/>
      <c r="G168" s="30"/>
      <c r="H168" s="30" t="s">
        <v>270</v>
      </c>
      <c r="I168" s="30" t="s">
        <v>56</v>
      </c>
      <c r="J168" s="30"/>
      <c r="K168" s="30" t="s">
        <v>57</v>
      </c>
      <c r="L168" s="30" t="s">
        <v>51</v>
      </c>
      <c r="M168" s="30" t="n">
        <v>1917</v>
      </c>
      <c r="N168" s="30" t="s">
        <v>58</v>
      </c>
      <c r="O168" s="30" t="n">
        <v>4</v>
      </c>
      <c r="P168" s="30" t="n">
        <v>0</v>
      </c>
      <c r="Q168" s="30" t="n">
        <v>3</v>
      </c>
      <c r="R168" s="30" t="n">
        <v>39</v>
      </c>
      <c r="S168" s="30" t="n">
        <v>2603.1</v>
      </c>
      <c r="T168" s="30" t="n">
        <v>2603.1</v>
      </c>
      <c r="U168" s="30" t="n">
        <v>2139</v>
      </c>
      <c r="V168" s="30" t="n">
        <v>464.1</v>
      </c>
      <c r="W168" s="30" t="s">
        <v>53</v>
      </c>
      <c r="X168" s="30" t="s">
        <v>53</v>
      </c>
      <c r="Y168" s="30" t="s">
        <v>54</v>
      </c>
      <c r="Z168" s="30" t="s">
        <v>53</v>
      </c>
      <c r="AA168" s="30" t="s">
        <v>53</v>
      </c>
      <c r="AB168" s="30" t="s">
        <v>53</v>
      </c>
      <c r="AC168" s="30" t="s">
        <v>53</v>
      </c>
      <c r="AD168" s="30" t="s">
        <v>53</v>
      </c>
      <c r="AE168" s="30" t="s">
        <v>54</v>
      </c>
      <c r="AF168" s="30" t="n">
        <v>0</v>
      </c>
      <c r="AG168" s="30" t="n">
        <v>0</v>
      </c>
      <c r="AH168" s="30" t="n">
        <v>1</v>
      </c>
      <c r="AI168" s="30" t="n">
        <v>0</v>
      </c>
      <c r="AJ168" s="30" t="n">
        <v>1</v>
      </c>
      <c r="AK168" s="30" t="n">
        <v>0</v>
      </c>
      <c r="AL168" s="26"/>
    </row>
    <row collapsed="false" customFormat="true" customHeight="false" hidden="false" ht="14.5" outlineLevel="0" r="169" s="2">
      <c r="A169" s="30" t="n">
        <v>160</v>
      </c>
      <c r="B169" s="30" t="s">
        <v>45</v>
      </c>
      <c r="C169" s="30" t="s">
        <v>46</v>
      </c>
      <c r="D169" s="30" t="s">
        <v>262</v>
      </c>
      <c r="E169" s="30" t="n">
        <v>49</v>
      </c>
      <c r="F169" s="30"/>
      <c r="G169" s="30"/>
      <c r="H169" s="30" t="s">
        <v>271</v>
      </c>
      <c r="I169" s="30" t="s">
        <v>56</v>
      </c>
      <c r="J169" s="30"/>
      <c r="K169" s="30" t="s">
        <v>57</v>
      </c>
      <c r="L169" s="30" t="s">
        <v>51</v>
      </c>
      <c r="M169" s="30" t="n">
        <v>1917</v>
      </c>
      <c r="N169" s="30" t="s">
        <v>58</v>
      </c>
      <c r="O169" s="30" t="n">
        <v>3</v>
      </c>
      <c r="P169" s="30" t="n">
        <v>0</v>
      </c>
      <c r="Q169" s="30" t="n">
        <v>2</v>
      </c>
      <c r="R169" s="30" t="n">
        <v>16</v>
      </c>
      <c r="S169" s="30" t="n">
        <v>1265.1</v>
      </c>
      <c r="T169" s="30" t="n">
        <v>1265.1</v>
      </c>
      <c r="U169" s="30" t="n">
        <v>836.2</v>
      </c>
      <c r="V169" s="30" t="n">
        <v>428.9</v>
      </c>
      <c r="W169" s="30" t="s">
        <v>53</v>
      </c>
      <c r="X169" s="30" t="s">
        <v>53</v>
      </c>
      <c r="Y169" s="30" t="s">
        <v>54</v>
      </c>
      <c r="Z169" s="30" t="s">
        <v>53</v>
      </c>
      <c r="AA169" s="30" t="s">
        <v>53</v>
      </c>
      <c r="AB169" s="30" t="s">
        <v>53</v>
      </c>
      <c r="AC169" s="30" t="s">
        <v>53</v>
      </c>
      <c r="AD169" s="30" t="s">
        <v>53</v>
      </c>
      <c r="AE169" s="30" t="s">
        <v>54</v>
      </c>
      <c r="AF169" s="30" t="n">
        <v>0</v>
      </c>
      <c r="AG169" s="30" t="n">
        <v>0</v>
      </c>
      <c r="AH169" s="30" t="n">
        <v>1</v>
      </c>
      <c r="AI169" s="30" t="n">
        <v>0</v>
      </c>
      <c r="AJ169" s="30" t="n">
        <v>1</v>
      </c>
      <c r="AK169" s="30" t="n">
        <v>0</v>
      </c>
      <c r="AL169" s="31"/>
    </row>
    <row collapsed="false" customFormat="false" customHeight="false" hidden="false" ht="14.5" outlineLevel="0" r="170">
      <c r="A170" s="30" t="n">
        <v>161</v>
      </c>
      <c r="B170" s="30" t="s">
        <v>45</v>
      </c>
      <c r="C170" s="30" t="s">
        <v>46</v>
      </c>
      <c r="D170" s="30" t="s">
        <v>262</v>
      </c>
      <c r="E170" s="30" t="n">
        <v>51</v>
      </c>
      <c r="F170" s="30"/>
      <c r="G170" s="30"/>
      <c r="H170" s="30" t="s">
        <v>272</v>
      </c>
      <c r="I170" s="30" t="s">
        <v>56</v>
      </c>
      <c r="J170" s="30"/>
      <c r="K170" s="30" t="s">
        <v>81</v>
      </c>
      <c r="L170" s="30" t="s">
        <v>51</v>
      </c>
      <c r="M170" s="30" t="n">
        <v>1939</v>
      </c>
      <c r="N170" s="30" t="s">
        <v>58</v>
      </c>
      <c r="O170" s="30" t="n">
        <v>3</v>
      </c>
      <c r="P170" s="30" t="n">
        <v>0</v>
      </c>
      <c r="Q170" s="30" t="n">
        <v>3</v>
      </c>
      <c r="R170" s="30" t="n">
        <v>18</v>
      </c>
      <c r="S170" s="30" t="n">
        <v>1265.1</v>
      </c>
      <c r="T170" s="30" t="n">
        <v>1265.1</v>
      </c>
      <c r="U170" s="30" t="n">
        <v>1330.7</v>
      </c>
      <c r="V170" s="30" t="n">
        <v>456.5</v>
      </c>
      <c r="W170" s="30" t="s">
        <v>53</v>
      </c>
      <c r="X170" s="30" t="s">
        <v>53</v>
      </c>
      <c r="Y170" s="30" t="s">
        <v>54</v>
      </c>
      <c r="Z170" s="30" t="s">
        <v>53</v>
      </c>
      <c r="AA170" s="30" t="s">
        <v>53</v>
      </c>
      <c r="AB170" s="30" t="s">
        <v>53</v>
      </c>
      <c r="AC170" s="30" t="s">
        <v>53</v>
      </c>
      <c r="AD170" s="30" t="s">
        <v>53</v>
      </c>
      <c r="AE170" s="30" t="s">
        <v>54</v>
      </c>
      <c r="AF170" s="30" t="n">
        <v>0</v>
      </c>
      <c r="AG170" s="30" t="n">
        <v>0</v>
      </c>
      <c r="AH170" s="30" t="n">
        <v>1</v>
      </c>
      <c r="AI170" s="30" t="n">
        <v>0</v>
      </c>
      <c r="AJ170" s="30" t="n">
        <v>1</v>
      </c>
      <c r="AK170" s="30" t="n">
        <v>0</v>
      </c>
      <c r="AL170" s="26"/>
    </row>
    <row collapsed="false" customFormat="false" customHeight="false" hidden="false" ht="14.5" outlineLevel="0" r="171">
      <c r="A171" s="30" t="n">
        <v>162</v>
      </c>
      <c r="B171" s="30" t="s">
        <v>45</v>
      </c>
      <c r="C171" s="30" t="s">
        <v>266</v>
      </c>
      <c r="D171" s="30" t="s">
        <v>262</v>
      </c>
      <c r="E171" s="30" t="n">
        <v>53</v>
      </c>
      <c r="F171" s="30"/>
      <c r="G171" s="30"/>
      <c r="H171" s="30" t="s">
        <v>273</v>
      </c>
      <c r="I171" s="30" t="s">
        <v>56</v>
      </c>
      <c r="J171" s="30"/>
      <c r="K171" s="30"/>
      <c r="L171" s="30"/>
      <c r="M171" s="30"/>
      <c r="N171" s="30"/>
      <c r="O171" s="30"/>
      <c r="P171" s="30"/>
      <c r="Q171" s="30"/>
      <c r="R171" s="30"/>
      <c r="S171" s="30" t="n">
        <v>302.2</v>
      </c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26"/>
    </row>
    <row collapsed="false" customFormat="true" customHeight="false" hidden="false" ht="14.5" outlineLevel="0" r="172" s="2">
      <c r="A172" s="30" t="n">
        <v>163</v>
      </c>
      <c r="B172" s="30" t="s">
        <v>45</v>
      </c>
      <c r="C172" s="30" t="s">
        <v>46</v>
      </c>
      <c r="D172" s="30" t="s">
        <v>262</v>
      </c>
      <c r="E172" s="30" t="s">
        <v>274</v>
      </c>
      <c r="F172" s="30"/>
      <c r="G172" s="30"/>
      <c r="H172" s="30" t="s">
        <v>275</v>
      </c>
      <c r="I172" s="30" t="s">
        <v>56</v>
      </c>
      <c r="J172" s="30"/>
      <c r="K172" s="30" t="s">
        <v>57</v>
      </c>
      <c r="L172" s="30" t="s">
        <v>51</v>
      </c>
      <c r="M172" s="30" t="n">
        <v>1917</v>
      </c>
      <c r="N172" s="30" t="s">
        <v>58</v>
      </c>
      <c r="O172" s="30" t="n">
        <v>3</v>
      </c>
      <c r="P172" s="30" t="n">
        <v>0</v>
      </c>
      <c r="Q172" s="30" t="n">
        <v>3</v>
      </c>
      <c r="R172" s="30" t="n">
        <v>24</v>
      </c>
      <c r="S172" s="30" t="n">
        <v>2161.1</v>
      </c>
      <c r="T172" s="30" t="n">
        <v>2161.1</v>
      </c>
      <c r="U172" s="30" t="n">
        <v>1251.5</v>
      </c>
      <c r="V172" s="30" t="n">
        <v>909.6</v>
      </c>
      <c r="W172" s="30" t="s">
        <v>53</v>
      </c>
      <c r="X172" s="30" t="s">
        <v>53</v>
      </c>
      <c r="Y172" s="30" t="s">
        <v>54</v>
      </c>
      <c r="Z172" s="30" t="s">
        <v>53</v>
      </c>
      <c r="AA172" s="30" t="s">
        <v>53</v>
      </c>
      <c r="AB172" s="30" t="s">
        <v>53</v>
      </c>
      <c r="AC172" s="30" t="s">
        <v>53</v>
      </c>
      <c r="AD172" s="30" t="s">
        <v>53</v>
      </c>
      <c r="AE172" s="30" t="s">
        <v>54</v>
      </c>
      <c r="AF172" s="30" t="n">
        <v>0</v>
      </c>
      <c r="AG172" s="30" t="n">
        <v>0</v>
      </c>
      <c r="AH172" s="30" t="n">
        <v>1</v>
      </c>
      <c r="AI172" s="30" t="n">
        <v>0</v>
      </c>
      <c r="AJ172" s="30" t="n">
        <v>1</v>
      </c>
      <c r="AK172" s="30" t="n">
        <v>0</v>
      </c>
      <c r="AL172" s="31"/>
    </row>
    <row collapsed="false" customFormat="true" customHeight="false" hidden="false" ht="14.5" outlineLevel="0" r="173" s="2">
      <c r="A173" s="30" t="n">
        <v>164</v>
      </c>
      <c r="B173" s="30" t="s">
        <v>45</v>
      </c>
      <c r="C173" s="30" t="s">
        <v>46</v>
      </c>
      <c r="D173" s="30" t="s">
        <v>262</v>
      </c>
      <c r="E173" s="30" t="n">
        <v>59</v>
      </c>
      <c r="F173" s="30"/>
      <c r="G173" s="30"/>
      <c r="H173" s="30" t="s">
        <v>276</v>
      </c>
      <c r="I173" s="30" t="s">
        <v>56</v>
      </c>
      <c r="J173" s="30"/>
      <c r="K173" s="30" t="s">
        <v>81</v>
      </c>
      <c r="L173" s="30" t="s">
        <v>51</v>
      </c>
      <c r="M173" s="30" t="n">
        <v>1917</v>
      </c>
      <c r="N173" s="30" t="s">
        <v>58</v>
      </c>
      <c r="O173" s="30" t="n">
        <v>4</v>
      </c>
      <c r="P173" s="30" t="n">
        <v>0</v>
      </c>
      <c r="Q173" s="30" t="n">
        <v>3</v>
      </c>
      <c r="R173" s="30" t="n">
        <v>32</v>
      </c>
      <c r="S173" s="30" t="n">
        <v>2161.1</v>
      </c>
      <c r="T173" s="30" t="n">
        <v>2161.1</v>
      </c>
      <c r="U173" s="30" t="n">
        <v>2409.8</v>
      </c>
      <c r="V173" s="30" t="n">
        <v>182.3</v>
      </c>
      <c r="W173" s="30" t="s">
        <v>53</v>
      </c>
      <c r="X173" s="30" t="s">
        <v>53</v>
      </c>
      <c r="Y173" s="30" t="s">
        <v>54</v>
      </c>
      <c r="Z173" s="30" t="s">
        <v>53</v>
      </c>
      <c r="AA173" s="30" t="s">
        <v>53</v>
      </c>
      <c r="AB173" s="30" t="s">
        <v>53</v>
      </c>
      <c r="AC173" s="30" t="s">
        <v>53</v>
      </c>
      <c r="AD173" s="30" t="s">
        <v>53</v>
      </c>
      <c r="AE173" s="30" t="s">
        <v>54</v>
      </c>
      <c r="AF173" s="30" t="n">
        <v>0</v>
      </c>
      <c r="AG173" s="30" t="n">
        <v>0</v>
      </c>
      <c r="AH173" s="30" t="n">
        <v>2</v>
      </c>
      <c r="AI173" s="30" t="n">
        <v>0</v>
      </c>
      <c r="AJ173" s="30" t="n">
        <v>1</v>
      </c>
      <c r="AK173" s="30" t="n">
        <v>0</v>
      </c>
      <c r="AL173" s="31"/>
    </row>
    <row collapsed="false" customFormat="false" customHeight="false" hidden="false" ht="14.5" outlineLevel="0" r="174">
      <c r="A174" s="30" t="n">
        <v>165</v>
      </c>
      <c r="B174" s="30" t="s">
        <v>45</v>
      </c>
      <c r="C174" s="30" t="s">
        <v>266</v>
      </c>
      <c r="D174" s="30" t="s">
        <v>277</v>
      </c>
      <c r="E174" s="30" t="n">
        <v>25</v>
      </c>
      <c r="F174" s="30"/>
      <c r="G174" s="30"/>
      <c r="H174" s="30" t="s">
        <v>278</v>
      </c>
      <c r="I174" s="30" t="s">
        <v>56</v>
      </c>
      <c r="J174" s="30"/>
      <c r="K174" s="30"/>
      <c r="L174" s="30"/>
      <c r="M174" s="30"/>
      <c r="N174" s="30"/>
      <c r="O174" s="30"/>
      <c r="P174" s="30"/>
      <c r="Q174" s="30"/>
      <c r="R174" s="30"/>
      <c r="S174" s="30" t="n">
        <v>315.1</v>
      </c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26"/>
    </row>
    <row collapsed="false" customFormat="false" customHeight="false" hidden="false" ht="14.5" outlineLevel="0" r="175">
      <c r="A175" s="30" t="n">
        <v>166</v>
      </c>
      <c r="B175" s="30" t="s">
        <v>45</v>
      </c>
      <c r="C175" s="30" t="s">
        <v>266</v>
      </c>
      <c r="D175" s="30" t="s">
        <v>277</v>
      </c>
      <c r="E175" s="30" t="n">
        <v>27</v>
      </c>
      <c r="F175" s="30"/>
      <c r="G175" s="30"/>
      <c r="H175" s="30" t="s">
        <v>279</v>
      </c>
      <c r="I175" s="30" t="s">
        <v>56</v>
      </c>
      <c r="J175" s="30"/>
      <c r="K175" s="30"/>
      <c r="L175" s="30"/>
      <c r="M175" s="30"/>
      <c r="N175" s="30"/>
      <c r="O175" s="30"/>
      <c r="P175" s="30"/>
      <c r="Q175" s="30"/>
      <c r="R175" s="30"/>
      <c r="S175" s="30" t="n">
        <v>319.7</v>
      </c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26"/>
    </row>
    <row collapsed="false" customFormat="false" customHeight="false" hidden="false" ht="14.5" outlineLevel="0" r="176">
      <c r="A176" s="30" t="n">
        <v>167</v>
      </c>
      <c r="B176" s="30" t="s">
        <v>45</v>
      </c>
      <c r="C176" s="30" t="s">
        <v>46</v>
      </c>
      <c r="D176" s="30" t="s">
        <v>280</v>
      </c>
      <c r="E176" s="30" t="s">
        <v>281</v>
      </c>
      <c r="F176" s="30"/>
      <c r="G176" s="30"/>
      <c r="H176" s="30" t="s">
        <v>282</v>
      </c>
      <c r="I176" s="30" t="s">
        <v>56</v>
      </c>
      <c r="J176" s="30"/>
      <c r="K176" s="30" t="s">
        <v>81</v>
      </c>
      <c r="L176" s="30" t="s">
        <v>51</v>
      </c>
      <c r="M176" s="30" t="n">
        <v>1947</v>
      </c>
      <c r="N176" s="30" t="s">
        <v>58</v>
      </c>
      <c r="O176" s="30" t="n">
        <v>2</v>
      </c>
      <c r="P176" s="30" t="n">
        <v>0</v>
      </c>
      <c r="Q176" s="30" t="n">
        <v>1</v>
      </c>
      <c r="R176" s="30" t="n">
        <v>8</v>
      </c>
      <c r="S176" s="30" t="n">
        <v>504.1</v>
      </c>
      <c r="T176" s="30" t="n">
        <v>504.1</v>
      </c>
      <c r="U176" s="30" t="n">
        <v>504.1</v>
      </c>
      <c r="V176" s="30"/>
      <c r="W176" s="30" t="s">
        <v>53</v>
      </c>
      <c r="X176" s="30" t="s">
        <v>53</v>
      </c>
      <c r="Y176" s="30" t="s">
        <v>54</v>
      </c>
      <c r="Z176" s="30" t="s">
        <v>53</v>
      </c>
      <c r="AA176" s="30" t="s">
        <v>53</v>
      </c>
      <c r="AB176" s="30" t="s">
        <v>53</v>
      </c>
      <c r="AC176" s="30" t="s">
        <v>53</v>
      </c>
      <c r="AD176" s="30" t="s">
        <v>53</v>
      </c>
      <c r="AE176" s="30" t="s">
        <v>54</v>
      </c>
      <c r="AF176" s="30" t="n">
        <v>0</v>
      </c>
      <c r="AG176" s="30" t="n">
        <v>0</v>
      </c>
      <c r="AH176" s="30" t="n">
        <v>1</v>
      </c>
      <c r="AI176" s="30" t="n">
        <v>0</v>
      </c>
      <c r="AJ176" s="30" t="n">
        <v>1</v>
      </c>
      <c r="AK176" s="30" t="n">
        <v>0</v>
      </c>
      <c r="AL176" s="26"/>
    </row>
    <row collapsed="false" customFormat="false" customHeight="false" hidden="false" ht="14.5" outlineLevel="0" r="177">
      <c r="A177" s="30" t="n">
        <v>168</v>
      </c>
      <c r="B177" s="30" t="s">
        <v>45</v>
      </c>
      <c r="C177" s="30" t="s">
        <v>46</v>
      </c>
      <c r="D177" s="30" t="s">
        <v>280</v>
      </c>
      <c r="E177" s="30" t="n">
        <v>21</v>
      </c>
      <c r="F177" s="30"/>
      <c r="G177" s="30"/>
      <c r="H177" s="30" t="s">
        <v>283</v>
      </c>
      <c r="I177" s="30" t="s">
        <v>56</v>
      </c>
      <c r="J177" s="30"/>
      <c r="K177" s="30" t="s">
        <v>64</v>
      </c>
      <c r="L177" s="30" t="s">
        <v>51</v>
      </c>
      <c r="M177" s="30" t="n">
        <v>1965</v>
      </c>
      <c r="N177" s="30" t="s">
        <v>58</v>
      </c>
      <c r="O177" s="30" t="n">
        <v>4</v>
      </c>
      <c r="P177" s="30" t="n">
        <v>0</v>
      </c>
      <c r="Q177" s="30" t="n">
        <v>2</v>
      </c>
      <c r="R177" s="30" t="n">
        <v>32</v>
      </c>
      <c r="S177" s="30" t="n">
        <v>1286.44</v>
      </c>
      <c r="T177" s="30" t="n">
        <v>1286.44</v>
      </c>
      <c r="U177" s="30" t="n">
        <v>1286.44</v>
      </c>
      <c r="V177" s="30"/>
      <c r="W177" s="30" t="s">
        <v>53</v>
      </c>
      <c r="X177" s="30" t="s">
        <v>53</v>
      </c>
      <c r="Y177" s="30" t="s">
        <v>54</v>
      </c>
      <c r="Z177" s="30" t="s">
        <v>53</v>
      </c>
      <c r="AA177" s="30" t="s">
        <v>53</v>
      </c>
      <c r="AB177" s="30" t="s">
        <v>53</v>
      </c>
      <c r="AC177" s="30" t="s">
        <v>53</v>
      </c>
      <c r="AD177" s="30" t="s">
        <v>53</v>
      </c>
      <c r="AE177" s="30" t="s">
        <v>54</v>
      </c>
      <c r="AF177" s="30" t="n">
        <v>0</v>
      </c>
      <c r="AG177" s="30" t="n">
        <v>0</v>
      </c>
      <c r="AH177" s="30" t="n">
        <v>1</v>
      </c>
      <c r="AI177" s="30" t="n">
        <v>0</v>
      </c>
      <c r="AJ177" s="30" t="n">
        <v>1</v>
      </c>
      <c r="AK177" s="30" t="n">
        <v>0</v>
      </c>
      <c r="AL177" s="26"/>
    </row>
    <row collapsed="false" customFormat="false" customHeight="false" hidden="false" ht="14.5" outlineLevel="0" r="178">
      <c r="A178" s="30" t="n">
        <v>169</v>
      </c>
      <c r="B178" s="30" t="s">
        <v>45</v>
      </c>
      <c r="C178" s="30" t="s">
        <v>46</v>
      </c>
      <c r="D178" s="30" t="s">
        <v>280</v>
      </c>
      <c r="E178" s="30" t="s">
        <v>284</v>
      </c>
      <c r="F178" s="30"/>
      <c r="G178" s="30"/>
      <c r="H178" s="30" t="s">
        <v>285</v>
      </c>
      <c r="I178" s="30" t="s">
        <v>56</v>
      </c>
      <c r="J178" s="30"/>
      <c r="K178" s="30" t="s">
        <v>64</v>
      </c>
      <c r="L178" s="30" t="s">
        <v>51</v>
      </c>
      <c r="M178" s="30" t="n">
        <v>1959</v>
      </c>
      <c r="N178" s="30" t="s">
        <v>58</v>
      </c>
      <c r="O178" s="30" t="n">
        <v>3</v>
      </c>
      <c r="P178" s="30" t="n">
        <v>0</v>
      </c>
      <c r="Q178" s="30" t="n">
        <v>2</v>
      </c>
      <c r="R178" s="30" t="n">
        <v>17</v>
      </c>
      <c r="S178" s="30" t="n">
        <v>1346.8</v>
      </c>
      <c r="T178" s="30" t="n">
        <v>1346.8</v>
      </c>
      <c r="U178" s="30" t="n">
        <v>1346.8</v>
      </c>
      <c r="V178" s="30"/>
      <c r="W178" s="30" t="s">
        <v>53</v>
      </c>
      <c r="X178" s="30" t="s">
        <v>53</v>
      </c>
      <c r="Y178" s="30" t="s">
        <v>54</v>
      </c>
      <c r="Z178" s="30" t="s">
        <v>53</v>
      </c>
      <c r="AA178" s="30" t="s">
        <v>53</v>
      </c>
      <c r="AB178" s="30" t="s">
        <v>53</v>
      </c>
      <c r="AC178" s="30" t="s">
        <v>53</v>
      </c>
      <c r="AD178" s="30" t="s">
        <v>53</v>
      </c>
      <c r="AE178" s="30" t="s">
        <v>54</v>
      </c>
      <c r="AF178" s="30" t="n">
        <v>0</v>
      </c>
      <c r="AG178" s="30" t="n">
        <v>0</v>
      </c>
      <c r="AH178" s="30" t="n">
        <v>1</v>
      </c>
      <c r="AI178" s="30" t="n">
        <v>0</v>
      </c>
      <c r="AJ178" s="30" t="n">
        <v>1</v>
      </c>
      <c r="AK178" s="30" t="n">
        <v>0</v>
      </c>
      <c r="AL178" s="26"/>
    </row>
    <row collapsed="false" customFormat="false" customHeight="false" hidden="false" ht="14.5" outlineLevel="0" r="179">
      <c r="A179" s="30" t="n">
        <v>170</v>
      </c>
      <c r="B179" s="30" t="s">
        <v>45</v>
      </c>
      <c r="C179" s="30" t="s">
        <v>46</v>
      </c>
      <c r="D179" s="30" t="s">
        <v>280</v>
      </c>
      <c r="E179" s="30" t="n">
        <v>29</v>
      </c>
      <c r="F179" s="30"/>
      <c r="G179" s="30"/>
      <c r="H179" s="30" t="s">
        <v>286</v>
      </c>
      <c r="I179" s="30" t="s">
        <v>56</v>
      </c>
      <c r="J179" s="30"/>
      <c r="K179" s="30" t="s">
        <v>64</v>
      </c>
      <c r="L179" s="30" t="s">
        <v>51</v>
      </c>
      <c r="M179" s="30" t="n">
        <v>1963</v>
      </c>
      <c r="N179" s="30" t="s">
        <v>58</v>
      </c>
      <c r="O179" s="30" t="n">
        <v>4</v>
      </c>
      <c r="P179" s="30" t="n">
        <v>0</v>
      </c>
      <c r="Q179" s="30" t="n">
        <v>3</v>
      </c>
      <c r="R179" s="30" t="n">
        <v>48</v>
      </c>
      <c r="S179" s="30" t="n">
        <v>2024.5</v>
      </c>
      <c r="T179" s="30" t="n">
        <v>2024.5</v>
      </c>
      <c r="U179" s="30" t="n">
        <v>2024.5</v>
      </c>
      <c r="V179" s="30"/>
      <c r="W179" s="30" t="s">
        <v>53</v>
      </c>
      <c r="X179" s="30" t="s">
        <v>53</v>
      </c>
      <c r="Y179" s="30" t="s">
        <v>54</v>
      </c>
      <c r="Z179" s="30" t="s">
        <v>53</v>
      </c>
      <c r="AA179" s="30" t="s">
        <v>53</v>
      </c>
      <c r="AB179" s="30" t="s">
        <v>53</v>
      </c>
      <c r="AC179" s="30" t="s">
        <v>53</v>
      </c>
      <c r="AD179" s="30" t="s">
        <v>53</v>
      </c>
      <c r="AE179" s="30" t="s">
        <v>54</v>
      </c>
      <c r="AF179" s="30" t="n">
        <v>0</v>
      </c>
      <c r="AG179" s="30" t="n">
        <v>0</v>
      </c>
      <c r="AH179" s="30" t="n">
        <v>1</v>
      </c>
      <c r="AI179" s="30" t="n">
        <v>0</v>
      </c>
      <c r="AJ179" s="30" t="n">
        <v>1</v>
      </c>
      <c r="AK179" s="30" t="n">
        <v>0</v>
      </c>
      <c r="AL179" s="26"/>
    </row>
    <row collapsed="false" customFormat="false" customHeight="false" hidden="false" ht="14.5" outlineLevel="0" r="180">
      <c r="A180" s="30" t="n">
        <v>171</v>
      </c>
      <c r="B180" s="30" t="s">
        <v>45</v>
      </c>
      <c r="C180" s="30" t="s">
        <v>46</v>
      </c>
      <c r="D180" s="30" t="s">
        <v>280</v>
      </c>
      <c r="E180" s="30" t="n">
        <v>31</v>
      </c>
      <c r="F180" s="30"/>
      <c r="G180" s="30"/>
      <c r="H180" s="30" t="s">
        <v>287</v>
      </c>
      <c r="I180" s="30" t="s">
        <v>56</v>
      </c>
      <c r="J180" s="30"/>
      <c r="K180" s="30" t="s">
        <v>64</v>
      </c>
      <c r="L180" s="30" t="s">
        <v>51</v>
      </c>
      <c r="M180" s="30" t="n">
        <v>1964</v>
      </c>
      <c r="N180" s="30" t="s">
        <v>58</v>
      </c>
      <c r="O180" s="30" t="n">
        <v>5</v>
      </c>
      <c r="P180" s="30" t="n">
        <v>0</v>
      </c>
      <c r="Q180" s="30" t="n">
        <v>3</v>
      </c>
      <c r="R180" s="30" t="n">
        <v>56</v>
      </c>
      <c r="S180" s="30" t="n">
        <v>2024.5</v>
      </c>
      <c r="T180" s="30" t="n">
        <v>2024.5</v>
      </c>
      <c r="U180" s="30" t="n">
        <v>2024.5</v>
      </c>
      <c r="V180" s="30"/>
      <c r="W180" s="30" t="s">
        <v>53</v>
      </c>
      <c r="X180" s="30" t="s">
        <v>53</v>
      </c>
      <c r="Y180" s="30" t="s">
        <v>54</v>
      </c>
      <c r="Z180" s="30" t="s">
        <v>53</v>
      </c>
      <c r="AA180" s="30" t="s">
        <v>53</v>
      </c>
      <c r="AB180" s="30" t="s">
        <v>53</v>
      </c>
      <c r="AC180" s="30" t="s">
        <v>53</v>
      </c>
      <c r="AD180" s="30" t="s">
        <v>53</v>
      </c>
      <c r="AE180" s="30" t="s">
        <v>54</v>
      </c>
      <c r="AF180" s="30" t="n">
        <v>0</v>
      </c>
      <c r="AG180" s="30" t="n">
        <v>0</v>
      </c>
      <c r="AH180" s="30" t="n">
        <v>1</v>
      </c>
      <c r="AI180" s="30" t="n">
        <v>0</v>
      </c>
      <c r="AJ180" s="30" t="n">
        <v>1</v>
      </c>
      <c r="AK180" s="30" t="n">
        <v>0</v>
      </c>
      <c r="AL180" s="26"/>
    </row>
    <row collapsed="false" customFormat="false" customHeight="false" hidden="false" ht="14.5" outlineLevel="0" r="181">
      <c r="A181" s="30" t="n">
        <v>172</v>
      </c>
      <c r="B181" s="30" t="s">
        <v>45</v>
      </c>
      <c r="C181" s="30" t="s">
        <v>59</v>
      </c>
      <c r="D181" s="30" t="s">
        <v>288</v>
      </c>
      <c r="E181" s="30" t="n">
        <v>2</v>
      </c>
      <c r="F181" s="30"/>
      <c r="G181" s="30"/>
      <c r="H181" s="30" t="s">
        <v>289</v>
      </c>
      <c r="I181" s="30" t="s">
        <v>56</v>
      </c>
      <c r="J181" s="30"/>
      <c r="K181" s="30" t="s">
        <v>101</v>
      </c>
      <c r="L181" s="30" t="s">
        <v>65</v>
      </c>
      <c r="M181" s="30" t="n">
        <v>1971</v>
      </c>
      <c r="N181" s="30" t="s">
        <v>58</v>
      </c>
      <c r="O181" s="30" t="n">
        <v>5</v>
      </c>
      <c r="P181" s="30" t="n">
        <v>0</v>
      </c>
      <c r="Q181" s="30" t="n">
        <v>6</v>
      </c>
      <c r="R181" s="30" t="n">
        <v>117</v>
      </c>
      <c r="S181" s="30" t="n">
        <v>5382.8</v>
      </c>
      <c r="T181" s="30" t="n">
        <v>5382.8</v>
      </c>
      <c r="U181" s="30" t="n">
        <v>5318</v>
      </c>
      <c r="V181" s="30" t="n">
        <v>64.8</v>
      </c>
      <c r="W181" s="30" t="s">
        <v>53</v>
      </c>
      <c r="X181" s="30" t="s">
        <v>53</v>
      </c>
      <c r="Y181" s="30" t="s">
        <v>53</v>
      </c>
      <c r="Z181" s="30" t="s">
        <v>53</v>
      </c>
      <c r="AA181" s="30" t="s">
        <v>53</v>
      </c>
      <c r="AB181" s="30" t="s">
        <v>53</v>
      </c>
      <c r="AC181" s="30" t="s">
        <v>53</v>
      </c>
      <c r="AD181" s="30" t="s">
        <v>53</v>
      </c>
      <c r="AE181" s="30" t="s">
        <v>54</v>
      </c>
      <c r="AF181" s="30" t="n">
        <v>0</v>
      </c>
      <c r="AG181" s="30" t="n">
        <v>0</v>
      </c>
      <c r="AH181" s="30" t="n">
        <v>1</v>
      </c>
      <c r="AI181" s="30" t="n">
        <v>0</v>
      </c>
      <c r="AJ181" s="30" t="n">
        <v>1</v>
      </c>
      <c r="AK181" s="30" t="n">
        <v>0</v>
      </c>
      <c r="AL181" s="26"/>
    </row>
    <row collapsed="false" customFormat="false" customHeight="false" hidden="false" ht="14.5" outlineLevel="0" r="182">
      <c r="A182" s="30" t="n">
        <v>173</v>
      </c>
      <c r="B182" s="30" t="s">
        <v>45</v>
      </c>
      <c r="C182" s="30" t="s">
        <v>59</v>
      </c>
      <c r="D182" s="30" t="s">
        <v>288</v>
      </c>
      <c r="E182" s="30" t="n">
        <v>4</v>
      </c>
      <c r="F182" s="30"/>
      <c r="G182" s="30"/>
      <c r="H182" s="30" t="s">
        <v>290</v>
      </c>
      <c r="I182" s="30" t="s">
        <v>56</v>
      </c>
      <c r="J182" s="30"/>
      <c r="K182" s="30" t="s">
        <v>101</v>
      </c>
      <c r="L182" s="30" t="s">
        <v>65</v>
      </c>
      <c r="M182" s="30" t="n">
        <v>1971</v>
      </c>
      <c r="N182" s="30" t="s">
        <v>58</v>
      </c>
      <c r="O182" s="30" t="n">
        <v>5</v>
      </c>
      <c r="P182" s="30" t="n">
        <v>0</v>
      </c>
      <c r="Q182" s="30" t="n">
        <v>5</v>
      </c>
      <c r="R182" s="30" t="n">
        <v>100</v>
      </c>
      <c r="S182" s="30" t="n">
        <v>4369</v>
      </c>
      <c r="T182" s="30" t="n">
        <v>4369</v>
      </c>
      <c r="U182" s="30" t="n">
        <v>4369</v>
      </c>
      <c r="V182" s="30"/>
      <c r="W182" s="30" t="s">
        <v>53</v>
      </c>
      <c r="X182" s="30" t="s">
        <v>53</v>
      </c>
      <c r="Y182" s="30" t="s">
        <v>53</v>
      </c>
      <c r="Z182" s="30" t="s">
        <v>53</v>
      </c>
      <c r="AA182" s="30" t="s">
        <v>53</v>
      </c>
      <c r="AB182" s="30" t="s">
        <v>53</v>
      </c>
      <c r="AC182" s="30" t="s">
        <v>53</v>
      </c>
      <c r="AD182" s="30" t="s">
        <v>53</v>
      </c>
      <c r="AE182" s="30" t="s">
        <v>54</v>
      </c>
      <c r="AF182" s="30" t="n">
        <v>0</v>
      </c>
      <c r="AG182" s="30" t="n">
        <v>0</v>
      </c>
      <c r="AH182" s="30" t="n">
        <v>1</v>
      </c>
      <c r="AI182" s="30" t="n">
        <v>0</v>
      </c>
      <c r="AJ182" s="30" t="n">
        <v>1</v>
      </c>
      <c r="AK182" s="30" t="n">
        <v>0</v>
      </c>
      <c r="AL182" s="26"/>
    </row>
    <row collapsed="false" customFormat="false" customHeight="false" hidden="false" ht="14.5" outlineLevel="0" r="183">
      <c r="A183" s="30" t="n">
        <v>174</v>
      </c>
      <c r="B183" s="30" t="s">
        <v>45</v>
      </c>
      <c r="C183" s="30" t="s">
        <v>59</v>
      </c>
      <c r="D183" s="30" t="s">
        <v>288</v>
      </c>
      <c r="E183" s="30" t="n">
        <v>6</v>
      </c>
      <c r="F183" s="30"/>
      <c r="G183" s="30"/>
      <c r="H183" s="30" t="s">
        <v>291</v>
      </c>
      <c r="I183" s="30" t="s">
        <v>56</v>
      </c>
      <c r="J183" s="30"/>
      <c r="K183" s="30" t="s">
        <v>64</v>
      </c>
      <c r="L183" s="30" t="s">
        <v>65</v>
      </c>
      <c r="M183" s="30" t="n">
        <v>1970</v>
      </c>
      <c r="N183" s="30" t="s">
        <v>58</v>
      </c>
      <c r="O183" s="30" t="n">
        <v>5</v>
      </c>
      <c r="P183" s="30" t="n">
        <v>0</v>
      </c>
      <c r="Q183" s="30" t="n">
        <v>5</v>
      </c>
      <c r="R183" s="30" t="n">
        <v>100</v>
      </c>
      <c r="S183" s="30" t="n">
        <v>4425</v>
      </c>
      <c r="T183" s="30" t="n">
        <v>4425</v>
      </c>
      <c r="U183" s="30" t="n">
        <v>4425</v>
      </c>
      <c r="V183" s="30"/>
      <c r="W183" s="30" t="s">
        <v>53</v>
      </c>
      <c r="X183" s="30" t="s">
        <v>53</v>
      </c>
      <c r="Y183" s="30" t="s">
        <v>53</v>
      </c>
      <c r="Z183" s="30" t="s">
        <v>53</v>
      </c>
      <c r="AA183" s="30" t="s">
        <v>53</v>
      </c>
      <c r="AB183" s="30" t="s">
        <v>53</v>
      </c>
      <c r="AC183" s="30" t="s">
        <v>53</v>
      </c>
      <c r="AD183" s="30" t="s">
        <v>53</v>
      </c>
      <c r="AE183" s="30" t="s">
        <v>54</v>
      </c>
      <c r="AF183" s="30" t="n">
        <v>0</v>
      </c>
      <c r="AG183" s="30" t="n">
        <v>0</v>
      </c>
      <c r="AH183" s="30" t="n">
        <v>1</v>
      </c>
      <c r="AI183" s="30" t="n">
        <v>0</v>
      </c>
      <c r="AJ183" s="30" t="n">
        <v>1</v>
      </c>
      <c r="AK183" s="30" t="n">
        <v>0</v>
      </c>
      <c r="AL183" s="26"/>
    </row>
    <row collapsed="false" customFormat="false" customHeight="false" hidden="false" ht="14.5" outlineLevel="0" r="184">
      <c r="A184" s="30" t="n">
        <v>175</v>
      </c>
      <c r="B184" s="30" t="s">
        <v>45</v>
      </c>
      <c r="C184" s="30" t="s">
        <v>59</v>
      </c>
      <c r="D184" s="30" t="s">
        <v>288</v>
      </c>
      <c r="E184" s="30" t="n">
        <v>8</v>
      </c>
      <c r="F184" s="30"/>
      <c r="G184" s="30"/>
      <c r="H184" s="30" t="s">
        <v>292</v>
      </c>
      <c r="I184" s="30" t="s">
        <v>56</v>
      </c>
      <c r="J184" s="30"/>
      <c r="K184" s="30" t="s">
        <v>64</v>
      </c>
      <c r="L184" s="30" t="s">
        <v>65</v>
      </c>
      <c r="M184" s="30" t="n">
        <v>1970</v>
      </c>
      <c r="N184" s="30" t="s">
        <v>58</v>
      </c>
      <c r="O184" s="30" t="n">
        <v>5</v>
      </c>
      <c r="P184" s="30" t="n">
        <v>0</v>
      </c>
      <c r="Q184" s="30" t="n">
        <v>6</v>
      </c>
      <c r="R184" s="30" t="n">
        <v>120</v>
      </c>
      <c r="S184" s="30" t="n">
        <v>5372</v>
      </c>
      <c r="T184" s="30" t="n">
        <v>5372</v>
      </c>
      <c r="U184" s="30" t="n">
        <v>5372</v>
      </c>
      <c r="V184" s="30"/>
      <c r="W184" s="30" t="s">
        <v>53</v>
      </c>
      <c r="X184" s="30" t="s">
        <v>53</v>
      </c>
      <c r="Y184" s="30" t="s">
        <v>53</v>
      </c>
      <c r="Z184" s="30" t="s">
        <v>53</v>
      </c>
      <c r="AA184" s="30" t="s">
        <v>53</v>
      </c>
      <c r="AB184" s="30" t="s">
        <v>53</v>
      </c>
      <c r="AC184" s="30" t="s">
        <v>53</v>
      </c>
      <c r="AD184" s="30" t="s">
        <v>53</v>
      </c>
      <c r="AE184" s="30" t="s">
        <v>54</v>
      </c>
      <c r="AF184" s="30" t="n">
        <v>0</v>
      </c>
      <c r="AG184" s="30" t="n">
        <v>0</v>
      </c>
      <c r="AH184" s="30" t="n">
        <v>1</v>
      </c>
      <c r="AI184" s="30" t="n">
        <v>0</v>
      </c>
      <c r="AJ184" s="30" t="n">
        <v>1</v>
      </c>
      <c r="AK184" s="30" t="n">
        <v>0</v>
      </c>
      <c r="AL184" s="26"/>
    </row>
    <row collapsed="false" customFormat="false" customHeight="false" hidden="false" ht="14.5" outlineLevel="0" r="185">
      <c r="A185" s="30" t="n">
        <v>176</v>
      </c>
      <c r="B185" s="30" t="s">
        <v>45</v>
      </c>
      <c r="C185" s="30" t="s">
        <v>59</v>
      </c>
      <c r="D185" s="30" t="s">
        <v>293</v>
      </c>
      <c r="E185" s="30" t="n">
        <v>6</v>
      </c>
      <c r="F185" s="30"/>
      <c r="G185" s="30"/>
      <c r="H185" s="30" t="s">
        <v>294</v>
      </c>
      <c r="I185" s="30" t="s">
        <v>56</v>
      </c>
      <c r="J185" s="30"/>
      <c r="K185" s="30" t="s">
        <v>81</v>
      </c>
      <c r="L185" s="30" t="s">
        <v>51</v>
      </c>
      <c r="M185" s="30" t="n">
        <v>1939</v>
      </c>
      <c r="N185" s="30" t="s">
        <v>58</v>
      </c>
      <c r="O185" s="30" t="n">
        <v>4</v>
      </c>
      <c r="P185" s="30" t="n">
        <v>0</v>
      </c>
      <c r="Q185" s="30" t="n">
        <v>2</v>
      </c>
      <c r="R185" s="30" t="n">
        <v>32</v>
      </c>
      <c r="S185" s="30" t="n">
        <v>2445.1</v>
      </c>
      <c r="T185" s="30" t="n">
        <v>2445.1</v>
      </c>
      <c r="U185" s="30" t="n">
        <v>2010</v>
      </c>
      <c r="V185" s="30" t="n">
        <v>435.1</v>
      </c>
      <c r="W185" s="30" t="s">
        <v>53</v>
      </c>
      <c r="X185" s="30" t="s">
        <v>53</v>
      </c>
      <c r="Y185" s="30" t="s">
        <v>53</v>
      </c>
      <c r="Z185" s="30" t="s">
        <v>53</v>
      </c>
      <c r="AA185" s="30" t="s">
        <v>53</v>
      </c>
      <c r="AB185" s="30" t="s">
        <v>53</v>
      </c>
      <c r="AC185" s="30" t="s">
        <v>53</v>
      </c>
      <c r="AD185" s="30" t="s">
        <v>53</v>
      </c>
      <c r="AE185" s="30" t="s">
        <v>54</v>
      </c>
      <c r="AF185" s="30" t="n">
        <v>0</v>
      </c>
      <c r="AG185" s="30" t="n">
        <v>0</v>
      </c>
      <c r="AH185" s="30" t="n">
        <v>2</v>
      </c>
      <c r="AI185" s="30" t="n">
        <v>0</v>
      </c>
      <c r="AJ185" s="30" t="n">
        <v>1</v>
      </c>
      <c r="AK185" s="30" t="n">
        <v>0</v>
      </c>
      <c r="AL185" s="26"/>
    </row>
    <row collapsed="false" customFormat="false" customHeight="false" hidden="false" ht="14.5" outlineLevel="0" r="186">
      <c r="A186" s="30" t="n">
        <v>177</v>
      </c>
      <c r="B186" s="30" t="s">
        <v>45</v>
      </c>
      <c r="C186" s="30" t="s">
        <v>206</v>
      </c>
      <c r="D186" s="30" t="s">
        <v>295</v>
      </c>
      <c r="E186" s="30" t="n">
        <v>1</v>
      </c>
      <c r="F186" s="30"/>
      <c r="G186" s="30"/>
      <c r="H186" s="30" t="s">
        <v>296</v>
      </c>
      <c r="I186" s="30" t="s">
        <v>56</v>
      </c>
      <c r="J186" s="30" t="s">
        <v>86</v>
      </c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26"/>
    </row>
    <row collapsed="false" customFormat="false" customHeight="false" hidden="false" ht="14.5" outlineLevel="0" r="187">
      <c r="A187" s="30" t="n">
        <v>178</v>
      </c>
      <c r="B187" s="30" t="s">
        <v>45</v>
      </c>
      <c r="C187" s="30" t="s">
        <v>206</v>
      </c>
      <c r="D187" s="30" t="s">
        <v>295</v>
      </c>
      <c r="E187" s="30" t="n">
        <v>2</v>
      </c>
      <c r="F187" s="30"/>
      <c r="G187" s="30"/>
      <c r="H187" s="30" t="s">
        <v>297</v>
      </c>
      <c r="I187" s="30" t="s">
        <v>56</v>
      </c>
      <c r="J187" s="30" t="s">
        <v>86</v>
      </c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26"/>
    </row>
    <row collapsed="false" customFormat="false" customHeight="false" hidden="false" ht="14.5" outlineLevel="0" r="188">
      <c r="A188" s="30" t="n">
        <v>179</v>
      </c>
      <c r="B188" s="30" t="s">
        <v>45</v>
      </c>
      <c r="C188" s="30" t="s">
        <v>206</v>
      </c>
      <c r="D188" s="30" t="s">
        <v>295</v>
      </c>
      <c r="E188" s="30" t="n">
        <v>3</v>
      </c>
      <c r="F188" s="30"/>
      <c r="G188" s="30"/>
      <c r="H188" s="30" t="s">
        <v>298</v>
      </c>
      <c r="I188" s="30" t="s">
        <v>56</v>
      </c>
      <c r="J188" s="30" t="s">
        <v>86</v>
      </c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26"/>
    </row>
    <row collapsed="false" customFormat="false" customHeight="false" hidden="false" ht="14.5" outlineLevel="0" r="189">
      <c r="A189" s="30" t="n">
        <v>180</v>
      </c>
      <c r="B189" s="30" t="s">
        <v>45</v>
      </c>
      <c r="C189" s="30" t="s">
        <v>206</v>
      </c>
      <c r="D189" s="30" t="s">
        <v>295</v>
      </c>
      <c r="E189" s="30" t="n">
        <v>4</v>
      </c>
      <c r="F189" s="30"/>
      <c r="G189" s="30"/>
      <c r="H189" s="30" t="s">
        <v>299</v>
      </c>
      <c r="I189" s="30" t="s">
        <v>56</v>
      </c>
      <c r="J189" s="30" t="s">
        <v>86</v>
      </c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26"/>
    </row>
    <row collapsed="false" customFormat="false" customHeight="false" hidden="false" ht="14.5" outlineLevel="0" r="190">
      <c r="A190" s="30" t="n">
        <v>181</v>
      </c>
      <c r="B190" s="30" t="s">
        <v>45</v>
      </c>
      <c r="C190" s="30" t="s">
        <v>46</v>
      </c>
      <c r="D190" s="30" t="s">
        <v>300</v>
      </c>
      <c r="E190" s="30" t="n">
        <v>6</v>
      </c>
      <c r="F190" s="30"/>
      <c r="G190" s="30"/>
      <c r="H190" s="30" t="s">
        <v>301</v>
      </c>
      <c r="I190" s="30" t="s">
        <v>56</v>
      </c>
      <c r="J190" s="30"/>
      <c r="K190" s="30" t="s">
        <v>101</v>
      </c>
      <c r="L190" s="30" t="s">
        <v>51</v>
      </c>
      <c r="M190" s="30" t="n">
        <v>1982</v>
      </c>
      <c r="N190" s="30" t="s">
        <v>58</v>
      </c>
      <c r="O190" s="30" t="n">
        <v>9</v>
      </c>
      <c r="P190" s="30" t="n">
        <v>0</v>
      </c>
      <c r="Q190" s="30" t="n">
        <v>1</v>
      </c>
      <c r="R190" s="30" t="n">
        <v>33</v>
      </c>
      <c r="S190" s="30" t="n">
        <v>1690.2</v>
      </c>
      <c r="T190" s="30" t="n">
        <v>1690.2</v>
      </c>
      <c r="U190" s="30" t="n">
        <v>1535.3</v>
      </c>
      <c r="V190" s="30" t="n">
        <v>154.9</v>
      </c>
      <c r="W190" s="30" t="s">
        <v>53</v>
      </c>
      <c r="X190" s="30" t="s">
        <v>53</v>
      </c>
      <c r="Y190" s="30" t="s">
        <v>53</v>
      </c>
      <c r="Z190" s="30" t="s">
        <v>53</v>
      </c>
      <c r="AA190" s="30" t="s">
        <v>53</v>
      </c>
      <c r="AB190" s="30" t="s">
        <v>53</v>
      </c>
      <c r="AC190" s="30" t="s">
        <v>54</v>
      </c>
      <c r="AD190" s="30" t="s">
        <v>53</v>
      </c>
      <c r="AE190" s="30" t="s">
        <v>54</v>
      </c>
      <c r="AF190" s="30" t="n">
        <v>1</v>
      </c>
      <c r="AG190" s="30" t="n">
        <v>0</v>
      </c>
      <c r="AH190" s="30" t="n">
        <v>0</v>
      </c>
      <c r="AI190" s="30" t="n">
        <v>1</v>
      </c>
      <c r="AJ190" s="30" t="n">
        <v>1</v>
      </c>
      <c r="AK190" s="30" t="n">
        <v>0</v>
      </c>
      <c r="AL190" s="26"/>
    </row>
    <row collapsed="false" customFormat="false" customHeight="false" hidden="false" ht="14.5" outlineLevel="0" r="191">
      <c r="A191" s="30" t="n">
        <v>182</v>
      </c>
      <c r="B191" s="30" t="s">
        <v>45</v>
      </c>
      <c r="C191" s="30" t="s">
        <v>46</v>
      </c>
      <c r="D191" s="30" t="s">
        <v>300</v>
      </c>
      <c r="E191" s="30" t="n">
        <v>6</v>
      </c>
      <c r="F191" s="30" t="n">
        <v>1</v>
      </c>
      <c r="G191" s="30"/>
      <c r="H191" s="30" t="s">
        <v>302</v>
      </c>
      <c r="I191" s="30" t="s">
        <v>56</v>
      </c>
      <c r="J191" s="30"/>
      <c r="K191" s="30" t="s">
        <v>101</v>
      </c>
      <c r="L191" s="30" t="s">
        <v>51</v>
      </c>
      <c r="M191" s="30" t="n">
        <v>1982</v>
      </c>
      <c r="N191" s="30" t="s">
        <v>58</v>
      </c>
      <c r="O191" s="30" t="n">
        <v>8</v>
      </c>
      <c r="P191" s="30" t="n">
        <v>0</v>
      </c>
      <c r="Q191" s="30" t="n">
        <v>1</v>
      </c>
      <c r="R191" s="30" t="n">
        <v>28</v>
      </c>
      <c r="S191" s="30" t="n">
        <v>1741.3</v>
      </c>
      <c r="T191" s="30" t="n">
        <v>1741.3</v>
      </c>
      <c r="U191" s="30" t="n">
        <v>1274</v>
      </c>
      <c r="V191" s="30" t="n">
        <v>467.3</v>
      </c>
      <c r="W191" s="30" t="s">
        <v>53</v>
      </c>
      <c r="X191" s="30" t="s">
        <v>53</v>
      </c>
      <c r="Y191" s="30" t="s">
        <v>53</v>
      </c>
      <c r="Z191" s="30" t="s">
        <v>53</v>
      </c>
      <c r="AA191" s="30" t="s">
        <v>53</v>
      </c>
      <c r="AB191" s="30" t="s">
        <v>53</v>
      </c>
      <c r="AC191" s="30" t="s">
        <v>54</v>
      </c>
      <c r="AD191" s="30" t="s">
        <v>53</v>
      </c>
      <c r="AE191" s="30" t="s">
        <v>54</v>
      </c>
      <c r="AF191" s="30" t="n">
        <v>1</v>
      </c>
      <c r="AG191" s="30" t="n">
        <v>0</v>
      </c>
      <c r="AH191" s="30" t="n">
        <v>1</v>
      </c>
      <c r="AI191" s="30" t="n">
        <v>1</v>
      </c>
      <c r="AJ191" s="30" t="n">
        <v>1</v>
      </c>
      <c r="AK191" s="30" t="n">
        <v>0</v>
      </c>
      <c r="AL191" s="26"/>
    </row>
    <row collapsed="false" customFormat="false" customHeight="false" hidden="false" ht="14.5" outlineLevel="0" r="192">
      <c r="A192" s="30" t="n">
        <v>183</v>
      </c>
      <c r="B192" s="30" t="s">
        <v>45</v>
      </c>
      <c r="C192" s="30" t="s">
        <v>46</v>
      </c>
      <c r="D192" s="30" t="s">
        <v>300</v>
      </c>
      <c r="E192" s="30" t="n">
        <v>8</v>
      </c>
      <c r="F192" s="30"/>
      <c r="G192" s="30"/>
      <c r="H192" s="30" t="s">
        <v>303</v>
      </c>
      <c r="I192" s="30" t="s">
        <v>56</v>
      </c>
      <c r="J192" s="30"/>
      <c r="K192" s="30" t="s">
        <v>101</v>
      </c>
      <c r="L192" s="30" t="s">
        <v>51</v>
      </c>
      <c r="M192" s="30" t="n">
        <v>1995</v>
      </c>
      <c r="N192" s="30" t="s">
        <v>58</v>
      </c>
      <c r="O192" s="30" t="n">
        <v>5</v>
      </c>
      <c r="P192" s="30" t="n">
        <v>0</v>
      </c>
      <c r="Q192" s="30" t="n">
        <v>14</v>
      </c>
      <c r="R192" s="30" t="n">
        <v>180</v>
      </c>
      <c r="S192" s="30" t="n">
        <v>10240.3</v>
      </c>
      <c r="T192" s="30" t="n">
        <v>10240.3</v>
      </c>
      <c r="U192" s="30" t="n">
        <v>9523.6</v>
      </c>
      <c r="V192" s="30" t="n">
        <v>716.7</v>
      </c>
      <c r="W192" s="30" t="s">
        <v>53</v>
      </c>
      <c r="X192" s="30" t="s">
        <v>53</v>
      </c>
      <c r="Y192" s="30" t="s">
        <v>53</v>
      </c>
      <c r="Z192" s="30" t="s">
        <v>53</v>
      </c>
      <c r="AA192" s="30" t="s">
        <v>53</v>
      </c>
      <c r="AB192" s="30" t="s">
        <v>53</v>
      </c>
      <c r="AC192" s="30" t="s">
        <v>54</v>
      </c>
      <c r="AD192" s="30" t="s">
        <v>53</v>
      </c>
      <c r="AE192" s="30" t="s">
        <v>54</v>
      </c>
      <c r="AF192" s="30" t="n">
        <v>0</v>
      </c>
      <c r="AG192" s="30" t="n">
        <v>0</v>
      </c>
      <c r="AH192" s="30" t="n">
        <v>3</v>
      </c>
      <c r="AI192" s="30" t="n">
        <v>3</v>
      </c>
      <c r="AJ192" s="30" t="n">
        <v>3</v>
      </c>
      <c r="AK192" s="30" t="n">
        <v>0</v>
      </c>
      <c r="AL192" s="26"/>
    </row>
    <row collapsed="false" customFormat="false" customHeight="false" hidden="false" ht="14.5" outlineLevel="0" r="193">
      <c r="A193" s="30" t="n">
        <v>184</v>
      </c>
      <c r="B193" s="30" t="s">
        <v>45</v>
      </c>
      <c r="C193" s="30" t="s">
        <v>46</v>
      </c>
      <c r="D193" s="30" t="s">
        <v>300</v>
      </c>
      <c r="E193" s="30" t="n">
        <v>12</v>
      </c>
      <c r="F193" s="30"/>
      <c r="G193" s="30"/>
      <c r="H193" s="30" t="s">
        <v>304</v>
      </c>
      <c r="I193" s="30" t="s">
        <v>56</v>
      </c>
      <c r="J193" s="30"/>
      <c r="K193" s="30" t="s">
        <v>138</v>
      </c>
      <c r="L193" s="30" t="s">
        <v>51</v>
      </c>
      <c r="M193" s="30" t="n">
        <v>1974</v>
      </c>
      <c r="N193" s="30" t="s">
        <v>108</v>
      </c>
      <c r="O193" s="30" t="n">
        <v>5</v>
      </c>
      <c r="P193" s="30" t="n">
        <v>0</v>
      </c>
      <c r="Q193" s="30" t="n">
        <v>4</v>
      </c>
      <c r="R193" s="30" t="n">
        <v>60</v>
      </c>
      <c r="S193" s="30" t="n">
        <v>2719.5</v>
      </c>
      <c r="T193" s="30" t="n">
        <v>2719.5</v>
      </c>
      <c r="U193" s="30" t="n">
        <v>2719.5</v>
      </c>
      <c r="V193" s="30"/>
      <c r="W193" s="30" t="s">
        <v>53</v>
      </c>
      <c r="X193" s="30" t="s">
        <v>53</v>
      </c>
      <c r="Y193" s="30" t="s">
        <v>53</v>
      </c>
      <c r="Z193" s="30" t="s">
        <v>53</v>
      </c>
      <c r="AA193" s="30" t="s">
        <v>53</v>
      </c>
      <c r="AB193" s="30" t="s">
        <v>53</v>
      </c>
      <c r="AC193" s="30" t="s">
        <v>54</v>
      </c>
      <c r="AD193" s="30" t="s">
        <v>53</v>
      </c>
      <c r="AE193" s="30" t="s">
        <v>54</v>
      </c>
      <c r="AF193" s="30" t="n">
        <v>0</v>
      </c>
      <c r="AG193" s="30" t="n">
        <v>0</v>
      </c>
      <c r="AH193" s="30" t="n">
        <v>1</v>
      </c>
      <c r="AI193" s="30" t="n">
        <v>1</v>
      </c>
      <c r="AJ193" s="30" t="n">
        <v>1</v>
      </c>
      <c r="AK193" s="30" t="n">
        <v>0</v>
      </c>
      <c r="AL193" s="26"/>
    </row>
    <row collapsed="false" customFormat="false" customHeight="false" hidden="false" ht="14.5" outlineLevel="0" r="194">
      <c r="A194" s="30" t="n">
        <v>185</v>
      </c>
      <c r="B194" s="30" t="s">
        <v>45</v>
      </c>
      <c r="C194" s="30" t="s">
        <v>46</v>
      </c>
      <c r="D194" s="30" t="s">
        <v>300</v>
      </c>
      <c r="E194" s="30" t="n">
        <v>14</v>
      </c>
      <c r="F194" s="30" t="s">
        <v>67</v>
      </c>
      <c r="G194" s="30"/>
      <c r="H194" s="30" t="s">
        <v>305</v>
      </c>
      <c r="I194" s="30" t="s">
        <v>56</v>
      </c>
      <c r="J194" s="30"/>
      <c r="K194" s="30" t="s">
        <v>138</v>
      </c>
      <c r="L194" s="30" t="s">
        <v>51</v>
      </c>
      <c r="M194" s="30" t="n">
        <v>1972</v>
      </c>
      <c r="N194" s="30" t="s">
        <v>108</v>
      </c>
      <c r="O194" s="30" t="n">
        <v>5</v>
      </c>
      <c r="P194" s="30" t="n">
        <v>0</v>
      </c>
      <c r="Q194" s="30" t="n">
        <v>4</v>
      </c>
      <c r="R194" s="30" t="n">
        <v>60</v>
      </c>
      <c r="S194" s="30" t="n">
        <v>2699</v>
      </c>
      <c r="T194" s="30" t="n">
        <v>2699</v>
      </c>
      <c r="U194" s="30" t="n">
        <v>2699</v>
      </c>
      <c r="V194" s="30"/>
      <c r="W194" s="30" t="s">
        <v>53</v>
      </c>
      <c r="X194" s="30" t="s">
        <v>53</v>
      </c>
      <c r="Y194" s="30" t="s">
        <v>53</v>
      </c>
      <c r="Z194" s="30" t="s">
        <v>53</v>
      </c>
      <c r="AA194" s="30" t="s">
        <v>53</v>
      </c>
      <c r="AB194" s="30" t="s">
        <v>53</v>
      </c>
      <c r="AC194" s="30" t="s">
        <v>54</v>
      </c>
      <c r="AD194" s="30" t="s">
        <v>53</v>
      </c>
      <c r="AE194" s="30" t="s">
        <v>54</v>
      </c>
      <c r="AF194" s="30" t="n">
        <v>0</v>
      </c>
      <c r="AG194" s="30" t="n">
        <v>0</v>
      </c>
      <c r="AH194" s="30" t="n">
        <v>1</v>
      </c>
      <c r="AI194" s="30" t="n">
        <v>1</v>
      </c>
      <c r="AJ194" s="30" t="n">
        <v>1</v>
      </c>
      <c r="AK194" s="30" t="n">
        <v>0</v>
      </c>
      <c r="AL194" s="26"/>
    </row>
    <row collapsed="false" customFormat="false" customHeight="false" hidden="false" ht="14.5" outlineLevel="0" r="195">
      <c r="A195" s="30" t="n">
        <v>186</v>
      </c>
      <c r="B195" s="30" t="s">
        <v>45</v>
      </c>
      <c r="C195" s="30" t="s">
        <v>46</v>
      </c>
      <c r="D195" s="30" t="s">
        <v>300</v>
      </c>
      <c r="E195" s="30" t="n">
        <v>16</v>
      </c>
      <c r="F195" s="30"/>
      <c r="G195" s="30"/>
      <c r="H195" s="30" t="s">
        <v>306</v>
      </c>
      <c r="I195" s="30" t="s">
        <v>56</v>
      </c>
      <c r="J195" s="30"/>
      <c r="K195" s="30" t="s">
        <v>138</v>
      </c>
      <c r="L195" s="30" t="s">
        <v>51</v>
      </c>
      <c r="M195" s="30" t="n">
        <v>1972</v>
      </c>
      <c r="N195" s="30" t="s">
        <v>108</v>
      </c>
      <c r="O195" s="30" t="n">
        <v>5</v>
      </c>
      <c r="P195" s="30" t="n">
        <v>0</v>
      </c>
      <c r="Q195" s="30" t="n">
        <v>6</v>
      </c>
      <c r="R195" s="30" t="n">
        <v>90</v>
      </c>
      <c r="S195" s="30" t="n">
        <v>4611.3</v>
      </c>
      <c r="T195" s="30" t="n">
        <v>4611.3</v>
      </c>
      <c r="U195" s="30" t="n">
        <v>4512.9</v>
      </c>
      <c r="V195" s="30" t="n">
        <v>98.4</v>
      </c>
      <c r="W195" s="30" t="s">
        <v>53</v>
      </c>
      <c r="X195" s="30" t="s">
        <v>53</v>
      </c>
      <c r="Y195" s="30" t="s">
        <v>53</v>
      </c>
      <c r="Z195" s="30" t="s">
        <v>53</v>
      </c>
      <c r="AA195" s="30" t="s">
        <v>53</v>
      </c>
      <c r="AB195" s="30" t="s">
        <v>53</v>
      </c>
      <c r="AC195" s="30" t="s">
        <v>54</v>
      </c>
      <c r="AD195" s="30" t="s">
        <v>53</v>
      </c>
      <c r="AE195" s="30" t="s">
        <v>54</v>
      </c>
      <c r="AF195" s="30" t="n">
        <v>0</v>
      </c>
      <c r="AG195" s="30" t="n">
        <v>0</v>
      </c>
      <c r="AH195" s="30" t="n">
        <v>1</v>
      </c>
      <c r="AI195" s="30" t="n">
        <v>1</v>
      </c>
      <c r="AJ195" s="30" t="n">
        <v>1</v>
      </c>
      <c r="AK195" s="30" t="n">
        <v>0</v>
      </c>
      <c r="AL195" s="26"/>
    </row>
    <row collapsed="false" customFormat="false" customHeight="false" hidden="false" ht="14.5" outlineLevel="0" r="196">
      <c r="A196" s="30" t="n">
        <v>187</v>
      </c>
      <c r="B196" s="30" t="s">
        <v>45</v>
      </c>
      <c r="C196" s="30" t="s">
        <v>59</v>
      </c>
      <c r="D196" s="30" t="s">
        <v>307</v>
      </c>
      <c r="E196" s="30" t="n">
        <v>1</v>
      </c>
      <c r="F196" s="30"/>
      <c r="G196" s="30"/>
      <c r="H196" s="30" t="s">
        <v>308</v>
      </c>
      <c r="I196" s="30" t="s">
        <v>56</v>
      </c>
      <c r="J196" s="30"/>
      <c r="K196" s="30" t="s">
        <v>64</v>
      </c>
      <c r="L196" s="30" t="s">
        <v>65</v>
      </c>
      <c r="M196" s="30" t="n">
        <v>1962</v>
      </c>
      <c r="N196" s="30" t="s">
        <v>58</v>
      </c>
      <c r="O196" s="30" t="n">
        <v>4</v>
      </c>
      <c r="P196" s="30" t="n">
        <v>0</v>
      </c>
      <c r="Q196" s="30" t="n">
        <v>2</v>
      </c>
      <c r="R196" s="30" t="n">
        <v>32</v>
      </c>
      <c r="S196" s="30" t="n">
        <v>1282</v>
      </c>
      <c r="T196" s="30" t="n">
        <v>1282</v>
      </c>
      <c r="U196" s="30" t="n">
        <v>1282</v>
      </c>
      <c r="V196" s="30"/>
      <c r="W196" s="30" t="s">
        <v>53</v>
      </c>
      <c r="X196" s="30" t="s">
        <v>53</v>
      </c>
      <c r="Y196" s="30" t="s">
        <v>53</v>
      </c>
      <c r="Z196" s="30" t="s">
        <v>53</v>
      </c>
      <c r="AA196" s="30" t="s">
        <v>53</v>
      </c>
      <c r="AB196" s="30" t="s">
        <v>53</v>
      </c>
      <c r="AC196" s="30" t="s">
        <v>53</v>
      </c>
      <c r="AD196" s="30" t="s">
        <v>53</v>
      </c>
      <c r="AE196" s="30" t="s">
        <v>54</v>
      </c>
      <c r="AF196" s="30" t="n">
        <v>0</v>
      </c>
      <c r="AG196" s="30" t="n">
        <v>0</v>
      </c>
      <c r="AH196" s="30" t="n">
        <v>1</v>
      </c>
      <c r="AI196" s="30" t="n">
        <v>0</v>
      </c>
      <c r="AJ196" s="30" t="n">
        <v>0</v>
      </c>
      <c r="AK196" s="30" t="n">
        <v>0</v>
      </c>
      <c r="AL196" s="26"/>
    </row>
    <row collapsed="false" customFormat="false" customHeight="false" hidden="false" ht="14.5" outlineLevel="0" r="197">
      <c r="A197" s="30" t="n">
        <v>188</v>
      </c>
      <c r="B197" s="30" t="s">
        <v>45</v>
      </c>
      <c r="C197" s="30" t="s">
        <v>59</v>
      </c>
      <c r="D197" s="30" t="s">
        <v>307</v>
      </c>
      <c r="E197" s="30" t="n">
        <v>11</v>
      </c>
      <c r="F197" s="30"/>
      <c r="G197" s="30"/>
      <c r="H197" s="30" t="s">
        <v>309</v>
      </c>
      <c r="I197" s="30" t="s">
        <v>56</v>
      </c>
      <c r="J197" s="30"/>
      <c r="K197" s="30" t="s">
        <v>101</v>
      </c>
      <c r="L197" s="30" t="s">
        <v>51</v>
      </c>
      <c r="M197" s="30" t="n">
        <v>1990</v>
      </c>
      <c r="N197" s="30" t="s">
        <v>58</v>
      </c>
      <c r="O197" s="30" t="n">
        <v>5</v>
      </c>
      <c r="P197" s="30" t="n">
        <v>0</v>
      </c>
      <c r="Q197" s="30" t="n">
        <v>5</v>
      </c>
      <c r="R197" s="30" t="n">
        <v>104</v>
      </c>
      <c r="S197" s="30" t="n">
        <v>6346.1</v>
      </c>
      <c r="T197" s="30" t="n">
        <v>6346.1</v>
      </c>
      <c r="U197" s="30" t="n">
        <v>5012</v>
      </c>
      <c r="V197" s="30" t="n">
        <v>1334.1</v>
      </c>
      <c r="W197" s="30" t="s">
        <v>53</v>
      </c>
      <c r="X197" s="30" t="s">
        <v>53</v>
      </c>
      <c r="Y197" s="30" t="s">
        <v>53</v>
      </c>
      <c r="Z197" s="30" t="s">
        <v>53</v>
      </c>
      <c r="AA197" s="30" t="s">
        <v>53</v>
      </c>
      <c r="AB197" s="30" t="s">
        <v>53</v>
      </c>
      <c r="AC197" s="30" t="s">
        <v>53</v>
      </c>
      <c r="AD197" s="30" t="s">
        <v>53</v>
      </c>
      <c r="AE197" s="30" t="s">
        <v>54</v>
      </c>
      <c r="AF197" s="30" t="n">
        <v>0</v>
      </c>
      <c r="AG197" s="30" t="n">
        <v>0</v>
      </c>
      <c r="AH197" s="30" t="n">
        <v>1</v>
      </c>
      <c r="AI197" s="30" t="n">
        <v>0</v>
      </c>
      <c r="AJ197" s="30" t="n">
        <v>0</v>
      </c>
      <c r="AK197" s="30" t="n">
        <v>0</v>
      </c>
      <c r="AL197" s="26"/>
    </row>
    <row collapsed="false" customFormat="true" customHeight="false" hidden="false" ht="14.5" outlineLevel="0" r="198" s="2">
      <c r="A198" s="30" t="n">
        <v>189</v>
      </c>
      <c r="B198" s="30" t="s">
        <v>45</v>
      </c>
      <c r="C198" s="30" t="s">
        <v>59</v>
      </c>
      <c r="D198" s="30" t="s">
        <v>307</v>
      </c>
      <c r="E198" s="30" t="n">
        <v>13</v>
      </c>
      <c r="F198" s="30"/>
      <c r="G198" s="30"/>
      <c r="H198" s="30" t="s">
        <v>310</v>
      </c>
      <c r="I198" s="30" t="s">
        <v>56</v>
      </c>
      <c r="J198" s="30"/>
      <c r="K198" s="30" t="s">
        <v>64</v>
      </c>
      <c r="L198" s="30" t="s">
        <v>57</v>
      </c>
      <c r="M198" s="30" t="n">
        <v>1962</v>
      </c>
      <c r="N198" s="30" t="s">
        <v>58</v>
      </c>
      <c r="O198" s="30" t="n">
        <v>4</v>
      </c>
      <c r="P198" s="30" t="n">
        <v>0</v>
      </c>
      <c r="Q198" s="30" t="n">
        <v>2</v>
      </c>
      <c r="R198" s="30" t="n">
        <v>32</v>
      </c>
      <c r="S198" s="30" t="n">
        <v>1277</v>
      </c>
      <c r="T198" s="30" t="n">
        <v>1277</v>
      </c>
      <c r="U198" s="30" t="n">
        <v>1277</v>
      </c>
      <c r="V198" s="30"/>
      <c r="W198" s="30" t="s">
        <v>53</v>
      </c>
      <c r="X198" s="30" t="s">
        <v>53</v>
      </c>
      <c r="Y198" s="30" t="s">
        <v>53</v>
      </c>
      <c r="Z198" s="30" t="s">
        <v>53</v>
      </c>
      <c r="AA198" s="30" t="s">
        <v>53</v>
      </c>
      <c r="AB198" s="30" t="s">
        <v>53</v>
      </c>
      <c r="AC198" s="30" t="s">
        <v>53</v>
      </c>
      <c r="AD198" s="30" t="s">
        <v>53</v>
      </c>
      <c r="AE198" s="30" t="s">
        <v>54</v>
      </c>
      <c r="AF198" s="30" t="n">
        <v>0</v>
      </c>
      <c r="AG198" s="30" t="n">
        <v>0</v>
      </c>
      <c r="AH198" s="30" t="n">
        <v>0</v>
      </c>
      <c r="AI198" s="30" t="n">
        <v>0</v>
      </c>
      <c r="AJ198" s="30" t="n">
        <v>0</v>
      </c>
      <c r="AK198" s="30" t="n">
        <v>0</v>
      </c>
      <c r="AL198" s="33"/>
    </row>
    <row collapsed="false" customFormat="false" customHeight="false" hidden="false" ht="14.5" outlineLevel="0" r="199">
      <c r="A199" s="30" t="n">
        <v>190</v>
      </c>
      <c r="B199" s="30" t="s">
        <v>45</v>
      </c>
      <c r="C199" s="30" t="s">
        <v>59</v>
      </c>
      <c r="D199" s="30" t="s">
        <v>311</v>
      </c>
      <c r="E199" s="30" t="n">
        <v>29</v>
      </c>
      <c r="F199" s="30"/>
      <c r="G199" s="30"/>
      <c r="H199" s="30" t="s">
        <v>312</v>
      </c>
      <c r="I199" s="30" t="s">
        <v>56</v>
      </c>
      <c r="J199" s="30"/>
      <c r="K199" s="30" t="s">
        <v>57</v>
      </c>
      <c r="L199" s="30" t="s">
        <v>51</v>
      </c>
      <c r="M199" s="30" t="n">
        <v>1917</v>
      </c>
      <c r="N199" s="30" t="s">
        <v>58</v>
      </c>
      <c r="O199" s="30" t="s">
        <v>313</v>
      </c>
      <c r="P199" s="30" t="n">
        <v>0</v>
      </c>
      <c r="Q199" s="30" t="n">
        <v>4</v>
      </c>
      <c r="R199" s="30" t="n">
        <v>19</v>
      </c>
      <c r="S199" s="30" t="n">
        <v>1197</v>
      </c>
      <c r="T199" s="30" t="n">
        <v>1197</v>
      </c>
      <c r="U199" s="30" t="n">
        <v>1197</v>
      </c>
      <c r="V199" s="30"/>
      <c r="W199" s="30" t="s">
        <v>53</v>
      </c>
      <c r="X199" s="30" t="s">
        <v>53</v>
      </c>
      <c r="Y199" s="30" t="s">
        <v>53</v>
      </c>
      <c r="Z199" s="30" t="s">
        <v>53</v>
      </c>
      <c r="AA199" s="30" t="s">
        <v>53</v>
      </c>
      <c r="AB199" s="30" t="s">
        <v>53</v>
      </c>
      <c r="AC199" s="30" t="s">
        <v>53</v>
      </c>
      <c r="AD199" s="30" t="s">
        <v>53</v>
      </c>
      <c r="AE199" s="30" t="s">
        <v>54</v>
      </c>
      <c r="AF199" s="30" t="n">
        <v>0</v>
      </c>
      <c r="AG199" s="30" t="n">
        <v>0</v>
      </c>
      <c r="AH199" s="30" t="n">
        <v>1</v>
      </c>
      <c r="AI199" s="30" t="n">
        <v>0</v>
      </c>
      <c r="AJ199" s="30" t="n">
        <v>1</v>
      </c>
      <c r="AK199" s="30" t="n">
        <v>0</v>
      </c>
      <c r="AL199" s="26"/>
    </row>
    <row collapsed="false" customFormat="true" customHeight="false" hidden="false" ht="14.5" outlineLevel="0" r="200" s="2">
      <c r="A200" s="30" t="n">
        <v>191</v>
      </c>
      <c r="B200" s="30" t="s">
        <v>45</v>
      </c>
      <c r="C200" s="30" t="s">
        <v>266</v>
      </c>
      <c r="D200" s="30" t="s">
        <v>314</v>
      </c>
      <c r="E200" s="30" t="n">
        <v>8</v>
      </c>
      <c r="F200" s="30"/>
      <c r="G200" s="30"/>
      <c r="H200" s="30" t="s">
        <v>315</v>
      </c>
      <c r="I200" s="30" t="s">
        <v>56</v>
      </c>
      <c r="J200" s="30" t="s">
        <v>86</v>
      </c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1"/>
    </row>
    <row collapsed="false" customFormat="false" customHeight="false" hidden="false" ht="14.5" outlineLevel="0" r="201">
      <c r="A201" s="30" t="n">
        <v>192</v>
      </c>
      <c r="B201" s="30" t="s">
        <v>45</v>
      </c>
      <c r="C201" s="30" t="s">
        <v>46</v>
      </c>
      <c r="D201" s="30" t="s">
        <v>314</v>
      </c>
      <c r="E201" s="30" t="n">
        <v>12</v>
      </c>
      <c r="F201" s="30"/>
      <c r="G201" s="30"/>
      <c r="H201" s="30" t="s">
        <v>316</v>
      </c>
      <c r="I201" s="30" t="s">
        <v>56</v>
      </c>
      <c r="J201" s="30"/>
      <c r="K201" s="30" t="s">
        <v>81</v>
      </c>
      <c r="L201" s="30" t="s">
        <v>51</v>
      </c>
      <c r="M201" s="30" t="n">
        <v>1956</v>
      </c>
      <c r="N201" s="30" t="s">
        <v>58</v>
      </c>
      <c r="O201" s="30" t="n">
        <v>1</v>
      </c>
      <c r="P201" s="30" t="n">
        <v>0</v>
      </c>
      <c r="Q201" s="30" t="n">
        <v>2</v>
      </c>
      <c r="R201" s="30" t="n">
        <v>12</v>
      </c>
      <c r="S201" s="30" t="n">
        <v>607.3</v>
      </c>
      <c r="T201" s="30" t="n">
        <v>607.3</v>
      </c>
      <c r="U201" s="30" t="n">
        <v>607.3</v>
      </c>
      <c r="V201" s="30"/>
      <c r="W201" s="30" t="s">
        <v>53</v>
      </c>
      <c r="X201" s="30" t="s">
        <v>53</v>
      </c>
      <c r="Y201" s="30" t="s">
        <v>54</v>
      </c>
      <c r="Z201" s="30" t="s">
        <v>53</v>
      </c>
      <c r="AA201" s="30" t="s">
        <v>53</v>
      </c>
      <c r="AB201" s="30" t="s">
        <v>53</v>
      </c>
      <c r="AC201" s="30" t="s">
        <v>53</v>
      </c>
      <c r="AD201" s="30" t="s">
        <v>53</v>
      </c>
      <c r="AE201" s="30" t="s">
        <v>54</v>
      </c>
      <c r="AF201" s="30" t="n">
        <v>0</v>
      </c>
      <c r="AG201" s="30" t="n">
        <v>0</v>
      </c>
      <c r="AH201" s="30" t="n">
        <v>1</v>
      </c>
      <c r="AI201" s="30" t="n">
        <v>0</v>
      </c>
      <c r="AJ201" s="30" t="n">
        <v>1</v>
      </c>
      <c r="AK201" s="30" t="n">
        <v>0</v>
      </c>
      <c r="AL201" s="26"/>
    </row>
    <row collapsed="false" customFormat="false" customHeight="false" hidden="false" ht="14.5" outlineLevel="0" r="202">
      <c r="A202" s="30" t="n">
        <v>193</v>
      </c>
      <c r="B202" s="30" t="s">
        <v>45</v>
      </c>
      <c r="C202" s="30" t="s">
        <v>266</v>
      </c>
      <c r="D202" s="30" t="s">
        <v>314</v>
      </c>
      <c r="E202" s="30" t="n">
        <v>24</v>
      </c>
      <c r="F202" s="30" t="s">
        <v>67</v>
      </c>
      <c r="G202" s="30"/>
      <c r="H202" s="30" t="s">
        <v>317</v>
      </c>
      <c r="I202" s="30" t="s">
        <v>56</v>
      </c>
      <c r="J202" s="30"/>
      <c r="K202" s="30"/>
      <c r="L202" s="30"/>
      <c r="M202" s="30"/>
      <c r="N202" s="30"/>
      <c r="O202" s="30"/>
      <c r="P202" s="30"/>
      <c r="Q202" s="30"/>
      <c r="R202" s="30"/>
      <c r="S202" s="30" t="n">
        <v>519.9</v>
      </c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26"/>
    </row>
    <row collapsed="false" customFormat="true" customHeight="false" hidden="false" ht="14.5" outlineLevel="0" r="203" s="32">
      <c r="A203" s="30" t="n">
        <v>194</v>
      </c>
      <c r="B203" s="30" t="s">
        <v>45</v>
      </c>
      <c r="C203" s="30" t="s">
        <v>46</v>
      </c>
      <c r="D203" s="30" t="s">
        <v>314</v>
      </c>
      <c r="E203" s="30" t="n">
        <v>26</v>
      </c>
      <c r="F203" s="30" t="s">
        <v>67</v>
      </c>
      <c r="G203" s="30"/>
      <c r="H203" s="30" t="s">
        <v>318</v>
      </c>
      <c r="I203" s="30" t="s">
        <v>56</v>
      </c>
      <c r="J203" s="30"/>
      <c r="K203" s="30" t="s">
        <v>64</v>
      </c>
      <c r="L203" s="30" t="s">
        <v>51</v>
      </c>
      <c r="M203" s="30" t="n">
        <v>1959</v>
      </c>
      <c r="N203" s="30" t="s">
        <v>58</v>
      </c>
      <c r="O203" s="30" t="n">
        <v>2</v>
      </c>
      <c r="P203" s="30" t="n">
        <v>0</v>
      </c>
      <c r="Q203" s="30" t="n">
        <v>2</v>
      </c>
      <c r="R203" s="30" t="n">
        <v>16</v>
      </c>
      <c r="S203" s="30" t="n">
        <v>630.6</v>
      </c>
      <c r="T203" s="30" t="n">
        <v>630.6</v>
      </c>
      <c r="U203" s="30" t="n">
        <v>630.6</v>
      </c>
      <c r="V203" s="30"/>
      <c r="W203" s="30" t="s">
        <v>53</v>
      </c>
      <c r="X203" s="30" t="s">
        <v>53</v>
      </c>
      <c r="Y203" s="30" t="s">
        <v>53</v>
      </c>
      <c r="Z203" s="30" t="s">
        <v>53</v>
      </c>
      <c r="AA203" s="30" t="s">
        <v>53</v>
      </c>
      <c r="AB203" s="30" t="s">
        <v>53</v>
      </c>
      <c r="AC203" s="30" t="s">
        <v>54</v>
      </c>
      <c r="AD203" s="30" t="s">
        <v>53</v>
      </c>
      <c r="AE203" s="30" t="s">
        <v>54</v>
      </c>
      <c r="AF203" s="30" t="n">
        <v>0</v>
      </c>
      <c r="AG203" s="30" t="n">
        <v>0</v>
      </c>
      <c r="AH203" s="30" t="n">
        <v>1</v>
      </c>
      <c r="AI203" s="30" t="n">
        <v>0</v>
      </c>
      <c r="AJ203" s="30" t="n">
        <v>1</v>
      </c>
      <c r="AK203" s="30" t="n">
        <v>0</v>
      </c>
      <c r="AL203" s="31"/>
    </row>
    <row collapsed="false" customFormat="false" customHeight="false" hidden="false" ht="14.5" outlineLevel="0" r="204">
      <c r="A204" s="30" t="n">
        <v>195</v>
      </c>
      <c r="B204" s="30" t="s">
        <v>45</v>
      </c>
      <c r="C204" s="30" t="s">
        <v>46</v>
      </c>
      <c r="D204" s="30" t="s">
        <v>314</v>
      </c>
      <c r="E204" s="30" t="n">
        <v>28</v>
      </c>
      <c r="F204" s="30"/>
      <c r="G204" s="30"/>
      <c r="H204" s="30" t="s">
        <v>319</v>
      </c>
      <c r="I204" s="30" t="s">
        <v>56</v>
      </c>
      <c r="J204" s="30"/>
      <c r="K204" s="30" t="s">
        <v>101</v>
      </c>
      <c r="L204" s="30" t="s">
        <v>51</v>
      </c>
      <c r="M204" s="30" t="n">
        <v>1917</v>
      </c>
      <c r="N204" s="30" t="s">
        <v>58</v>
      </c>
      <c r="O204" s="30" t="n">
        <v>3</v>
      </c>
      <c r="P204" s="30" t="n">
        <v>0</v>
      </c>
      <c r="Q204" s="30" t="n">
        <v>1</v>
      </c>
      <c r="R204" s="30" t="n">
        <v>10</v>
      </c>
      <c r="S204" s="30" t="n">
        <v>594.6</v>
      </c>
      <c r="T204" s="30" t="n">
        <v>594.6</v>
      </c>
      <c r="U204" s="30" t="n">
        <v>594.6</v>
      </c>
      <c r="V204" s="30"/>
      <c r="W204" s="30" t="s">
        <v>53</v>
      </c>
      <c r="X204" s="30" t="s">
        <v>53</v>
      </c>
      <c r="Y204" s="30" t="s">
        <v>53</v>
      </c>
      <c r="Z204" s="30" t="s">
        <v>53</v>
      </c>
      <c r="AA204" s="30" t="s">
        <v>53</v>
      </c>
      <c r="AB204" s="30" t="s">
        <v>53</v>
      </c>
      <c r="AC204" s="30" t="s">
        <v>54</v>
      </c>
      <c r="AD204" s="30" t="s">
        <v>53</v>
      </c>
      <c r="AE204" s="30" t="s">
        <v>54</v>
      </c>
      <c r="AF204" s="30" t="n">
        <v>0</v>
      </c>
      <c r="AG204" s="30" t="n">
        <v>0</v>
      </c>
      <c r="AH204" s="30" t="n">
        <v>1</v>
      </c>
      <c r="AI204" s="30" t="n">
        <v>0</v>
      </c>
      <c r="AJ204" s="30" t="n">
        <v>1</v>
      </c>
      <c r="AK204" s="30" t="n">
        <v>0</v>
      </c>
      <c r="AL204" s="26"/>
    </row>
    <row collapsed="false" customFormat="false" customHeight="false" hidden="false" ht="14.5" outlineLevel="0" r="205">
      <c r="A205" s="30" t="n">
        <v>196</v>
      </c>
      <c r="B205" s="30" t="s">
        <v>45</v>
      </c>
      <c r="C205" s="30" t="s">
        <v>266</v>
      </c>
      <c r="D205" s="30" t="s">
        <v>314</v>
      </c>
      <c r="E205" s="30" t="s">
        <v>320</v>
      </c>
      <c r="F205" s="30"/>
      <c r="G205" s="30"/>
      <c r="H205" s="30" t="s">
        <v>321</v>
      </c>
      <c r="I205" s="30" t="s">
        <v>56</v>
      </c>
      <c r="J205" s="30"/>
      <c r="K205" s="30"/>
      <c r="L205" s="30"/>
      <c r="M205" s="30"/>
      <c r="N205" s="30"/>
      <c r="O205" s="30"/>
      <c r="P205" s="30"/>
      <c r="Q205" s="30"/>
      <c r="R205" s="30"/>
      <c r="S205" s="30" t="n">
        <v>236.8</v>
      </c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26"/>
    </row>
    <row collapsed="false" customFormat="false" customHeight="false" hidden="false" ht="14.5" outlineLevel="0" r="206">
      <c r="A206" s="30" t="n">
        <v>197</v>
      </c>
      <c r="B206" s="30" t="s">
        <v>45</v>
      </c>
      <c r="C206" s="30" t="s">
        <v>59</v>
      </c>
      <c r="D206" s="30" t="s">
        <v>322</v>
      </c>
      <c r="E206" s="30" t="n">
        <v>7</v>
      </c>
      <c r="F206" s="30"/>
      <c r="G206" s="30"/>
      <c r="H206" s="30" t="s">
        <v>323</v>
      </c>
      <c r="I206" s="30" t="s">
        <v>56</v>
      </c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 t="n">
        <v>112</v>
      </c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26"/>
    </row>
    <row collapsed="false" customFormat="false" customHeight="false" hidden="false" ht="14.5" outlineLevel="0" r="207">
      <c r="A207" s="30" t="n">
        <v>198</v>
      </c>
      <c r="B207" s="30" t="s">
        <v>45</v>
      </c>
      <c r="C207" s="30" t="s">
        <v>59</v>
      </c>
      <c r="D207" s="30" t="s">
        <v>322</v>
      </c>
      <c r="E207" s="30" t="n">
        <v>9</v>
      </c>
      <c r="F207" s="30"/>
      <c r="G207" s="30"/>
      <c r="H207" s="30" t="s">
        <v>324</v>
      </c>
      <c r="I207" s="30" t="s">
        <v>56</v>
      </c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 t="n">
        <v>113</v>
      </c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26"/>
    </row>
    <row collapsed="false" customFormat="false" customHeight="false" hidden="false" ht="14.5" outlineLevel="0" r="208">
      <c r="A208" s="30" t="n">
        <v>199</v>
      </c>
      <c r="B208" s="30" t="s">
        <v>45</v>
      </c>
      <c r="C208" s="30" t="s">
        <v>59</v>
      </c>
      <c r="D208" s="30" t="s">
        <v>322</v>
      </c>
      <c r="E208" s="30" t="n">
        <v>11</v>
      </c>
      <c r="F208" s="30"/>
      <c r="G208" s="30"/>
      <c r="H208" s="30" t="s">
        <v>325</v>
      </c>
      <c r="I208" s="30" t="s">
        <v>56</v>
      </c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 t="n">
        <v>310</v>
      </c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26"/>
    </row>
    <row collapsed="false" customFormat="false" customHeight="false" hidden="false" ht="14.5" outlineLevel="0" r="209">
      <c r="A209" s="30" t="n">
        <v>200</v>
      </c>
      <c r="B209" s="30" t="s">
        <v>45</v>
      </c>
      <c r="C209" s="30" t="s">
        <v>59</v>
      </c>
      <c r="D209" s="30" t="s">
        <v>326</v>
      </c>
      <c r="E209" s="30" t="n">
        <v>2</v>
      </c>
      <c r="F209" s="30"/>
      <c r="G209" s="30"/>
      <c r="H209" s="30" t="s">
        <v>327</v>
      </c>
      <c r="I209" s="30" t="s">
        <v>56</v>
      </c>
      <c r="J209" s="30"/>
      <c r="K209" s="30" t="s">
        <v>64</v>
      </c>
      <c r="L209" s="30" t="s">
        <v>57</v>
      </c>
      <c r="M209" s="30" t="n">
        <v>1959</v>
      </c>
      <c r="N209" s="30" t="s">
        <v>58</v>
      </c>
      <c r="O209" s="30" t="n">
        <v>3</v>
      </c>
      <c r="P209" s="30" t="n">
        <v>0</v>
      </c>
      <c r="Q209" s="30" t="n">
        <v>3</v>
      </c>
      <c r="R209" s="30" t="n">
        <v>27</v>
      </c>
      <c r="S209" s="30" t="n">
        <v>1746</v>
      </c>
      <c r="T209" s="30" t="n">
        <v>1746</v>
      </c>
      <c r="U209" s="30" t="n">
        <v>1382</v>
      </c>
      <c r="V209" s="30" t="n">
        <v>364</v>
      </c>
      <c r="W209" s="30" t="s">
        <v>53</v>
      </c>
      <c r="X209" s="30" t="s">
        <v>53</v>
      </c>
      <c r="Y209" s="30" t="s">
        <v>53</v>
      </c>
      <c r="Z209" s="30" t="s">
        <v>53</v>
      </c>
      <c r="AA209" s="30" t="s">
        <v>53</v>
      </c>
      <c r="AB209" s="30" t="s">
        <v>53</v>
      </c>
      <c r="AC209" s="30" t="s">
        <v>53</v>
      </c>
      <c r="AD209" s="30" t="s">
        <v>53</v>
      </c>
      <c r="AE209" s="30" t="s">
        <v>54</v>
      </c>
      <c r="AF209" s="30" t="n">
        <v>0</v>
      </c>
      <c r="AG209" s="30" t="n">
        <v>0</v>
      </c>
      <c r="AH209" s="30" t="n">
        <v>1</v>
      </c>
      <c r="AI209" s="30" t="n">
        <v>0</v>
      </c>
      <c r="AJ209" s="30" t="n">
        <v>1</v>
      </c>
      <c r="AK209" s="30" t="n">
        <v>0</v>
      </c>
      <c r="AL209" s="26"/>
    </row>
    <row collapsed="false" customFormat="false" customHeight="false" hidden="false" ht="14.5" outlineLevel="0" r="210">
      <c r="A210" s="30" t="n">
        <v>201</v>
      </c>
      <c r="B210" s="30" t="s">
        <v>45</v>
      </c>
      <c r="C210" s="30" t="s">
        <v>59</v>
      </c>
      <c r="D210" s="30" t="s">
        <v>326</v>
      </c>
      <c r="E210" s="30" t="n">
        <v>4</v>
      </c>
      <c r="F210" s="30"/>
      <c r="G210" s="30"/>
      <c r="H210" s="30" t="s">
        <v>328</v>
      </c>
      <c r="I210" s="30" t="s">
        <v>56</v>
      </c>
      <c r="J210" s="30"/>
      <c r="K210" s="30" t="s">
        <v>64</v>
      </c>
      <c r="L210" s="30"/>
      <c r="M210" s="30" t="n">
        <v>1960</v>
      </c>
      <c r="N210" s="30" t="s">
        <v>58</v>
      </c>
      <c r="O210" s="30" t="n">
        <v>3</v>
      </c>
      <c r="P210" s="30" t="n">
        <v>0</v>
      </c>
      <c r="Q210" s="30" t="n">
        <v>3</v>
      </c>
      <c r="R210" s="30" t="n">
        <v>36</v>
      </c>
      <c r="S210" s="30" t="n">
        <v>1521</v>
      </c>
      <c r="T210" s="30" t="n">
        <v>1521</v>
      </c>
      <c r="U210" s="30" t="n">
        <v>1521</v>
      </c>
      <c r="V210" s="30"/>
      <c r="W210" s="30" t="s">
        <v>53</v>
      </c>
      <c r="X210" s="30" t="s">
        <v>53</v>
      </c>
      <c r="Y210" s="30" t="s">
        <v>53</v>
      </c>
      <c r="Z210" s="30" t="s">
        <v>53</v>
      </c>
      <c r="AA210" s="30" t="s">
        <v>53</v>
      </c>
      <c r="AB210" s="30" t="s">
        <v>53</v>
      </c>
      <c r="AC210" s="30" t="s">
        <v>53</v>
      </c>
      <c r="AD210" s="30" t="s">
        <v>53</v>
      </c>
      <c r="AE210" s="30" t="s">
        <v>54</v>
      </c>
      <c r="AF210" s="30" t="n">
        <v>0</v>
      </c>
      <c r="AG210" s="30" t="n">
        <v>0</v>
      </c>
      <c r="AH210" s="30" t="n">
        <v>0</v>
      </c>
      <c r="AI210" s="30" t="n">
        <v>0</v>
      </c>
      <c r="AJ210" s="30" t="n">
        <v>1</v>
      </c>
      <c r="AK210" s="30" t="n">
        <v>0</v>
      </c>
      <c r="AL210" s="26"/>
    </row>
    <row collapsed="false" customFormat="false" customHeight="false" hidden="false" ht="14.5" outlineLevel="0" r="211">
      <c r="A211" s="30" t="n">
        <v>202</v>
      </c>
      <c r="B211" s="30" t="s">
        <v>45</v>
      </c>
      <c r="C211" s="30" t="s">
        <v>59</v>
      </c>
      <c r="D211" s="30" t="s">
        <v>326</v>
      </c>
      <c r="E211" s="30" t="n">
        <v>10</v>
      </c>
      <c r="F211" s="30"/>
      <c r="G211" s="30"/>
      <c r="H211" s="30" t="s">
        <v>329</v>
      </c>
      <c r="I211" s="30" t="s">
        <v>56</v>
      </c>
      <c r="J211" s="30"/>
      <c r="K211" s="30" t="s">
        <v>64</v>
      </c>
      <c r="L211" s="30"/>
      <c r="M211" s="30" t="n">
        <v>1966</v>
      </c>
      <c r="N211" s="30" t="s">
        <v>58</v>
      </c>
      <c r="O211" s="30" t="n">
        <v>4</v>
      </c>
      <c r="P211" s="30" t="n">
        <v>0</v>
      </c>
      <c r="Q211" s="30" t="n">
        <v>3</v>
      </c>
      <c r="R211" s="30" t="n">
        <v>49</v>
      </c>
      <c r="S211" s="30" t="n">
        <v>2093</v>
      </c>
      <c r="T211" s="30" t="n">
        <v>2093</v>
      </c>
      <c r="U211" s="30" t="n">
        <v>2093</v>
      </c>
      <c r="V211" s="30"/>
      <c r="W211" s="30" t="s">
        <v>53</v>
      </c>
      <c r="X211" s="30" t="s">
        <v>53</v>
      </c>
      <c r="Y211" s="30" t="s">
        <v>53</v>
      </c>
      <c r="Z211" s="30" t="s">
        <v>53</v>
      </c>
      <c r="AA211" s="30" t="s">
        <v>53</v>
      </c>
      <c r="AB211" s="30" t="s">
        <v>53</v>
      </c>
      <c r="AC211" s="30" t="s">
        <v>53</v>
      </c>
      <c r="AD211" s="30" t="s">
        <v>53</v>
      </c>
      <c r="AE211" s="30" t="s">
        <v>54</v>
      </c>
      <c r="AF211" s="30" t="n">
        <v>0</v>
      </c>
      <c r="AG211" s="30" t="n">
        <v>0</v>
      </c>
      <c r="AH211" s="30" t="n">
        <v>1</v>
      </c>
      <c r="AI211" s="30" t="n">
        <v>0</v>
      </c>
      <c r="AJ211" s="30" t="n">
        <v>1</v>
      </c>
      <c r="AK211" s="30" t="n">
        <v>0</v>
      </c>
      <c r="AL211" s="26"/>
    </row>
    <row collapsed="false" customFormat="false" customHeight="false" hidden="false" ht="14.5" outlineLevel="0" r="212">
      <c r="A212" s="30" t="n">
        <v>203</v>
      </c>
      <c r="B212" s="30" t="s">
        <v>45</v>
      </c>
      <c r="C212" s="30" t="s">
        <v>59</v>
      </c>
      <c r="D212" s="30" t="s">
        <v>326</v>
      </c>
      <c r="E212" s="30" t="s">
        <v>330</v>
      </c>
      <c r="F212" s="30"/>
      <c r="G212" s="30"/>
      <c r="H212" s="30" t="s">
        <v>331</v>
      </c>
      <c r="I212" s="30" t="s">
        <v>56</v>
      </c>
      <c r="J212" s="30"/>
      <c r="K212" s="30" t="s">
        <v>64</v>
      </c>
      <c r="L212" s="30" t="s">
        <v>65</v>
      </c>
      <c r="M212" s="30" t="n">
        <v>1961</v>
      </c>
      <c r="N212" s="30" t="s">
        <v>58</v>
      </c>
      <c r="O212" s="30" t="n">
        <v>3</v>
      </c>
      <c r="P212" s="30" t="n">
        <v>0</v>
      </c>
      <c r="Q212" s="30" t="n">
        <v>2</v>
      </c>
      <c r="R212" s="30" t="n">
        <v>24</v>
      </c>
      <c r="S212" s="30" t="n">
        <v>957</v>
      </c>
      <c r="T212" s="30" t="n">
        <v>957</v>
      </c>
      <c r="U212" s="30" t="n">
        <v>957</v>
      </c>
      <c r="V212" s="30"/>
      <c r="W212" s="30" t="s">
        <v>53</v>
      </c>
      <c r="X212" s="30" t="s">
        <v>53</v>
      </c>
      <c r="Y212" s="30" t="s">
        <v>53</v>
      </c>
      <c r="Z212" s="30" t="s">
        <v>53</v>
      </c>
      <c r="AA212" s="30" t="s">
        <v>53</v>
      </c>
      <c r="AB212" s="30" t="s">
        <v>53</v>
      </c>
      <c r="AC212" s="30" t="s">
        <v>53</v>
      </c>
      <c r="AD212" s="30" t="s">
        <v>53</v>
      </c>
      <c r="AE212" s="30" t="s">
        <v>54</v>
      </c>
      <c r="AF212" s="30" t="n">
        <v>0</v>
      </c>
      <c r="AG212" s="30" t="n">
        <v>0</v>
      </c>
      <c r="AH212" s="30" t="n">
        <v>2</v>
      </c>
      <c r="AI212" s="30" t="n">
        <v>0</v>
      </c>
      <c r="AJ212" s="30" t="n">
        <v>1</v>
      </c>
      <c r="AK212" s="30" t="n">
        <v>0</v>
      </c>
      <c r="AL212" s="26"/>
    </row>
    <row collapsed="false" customFormat="true" customHeight="false" hidden="false" ht="14.5" outlineLevel="0" r="213" s="2">
      <c r="A213" s="30" t="n">
        <v>204</v>
      </c>
      <c r="B213" s="30" t="s">
        <v>45</v>
      </c>
      <c r="C213" s="30" t="s">
        <v>59</v>
      </c>
      <c r="D213" s="30" t="s">
        <v>326</v>
      </c>
      <c r="E213" s="30" t="n">
        <v>21</v>
      </c>
      <c r="F213" s="30"/>
      <c r="G213" s="30"/>
      <c r="H213" s="30" t="s">
        <v>332</v>
      </c>
      <c r="I213" s="30" t="s">
        <v>56</v>
      </c>
      <c r="J213" s="30"/>
      <c r="K213" s="30" t="s">
        <v>101</v>
      </c>
      <c r="L213" s="30" t="s">
        <v>65</v>
      </c>
      <c r="M213" s="30" t="n">
        <v>1980</v>
      </c>
      <c r="N213" s="30" t="s">
        <v>58</v>
      </c>
      <c r="O213" s="30" t="n">
        <v>5</v>
      </c>
      <c r="P213" s="30" t="n">
        <v>0</v>
      </c>
      <c r="Q213" s="30" t="n">
        <v>6</v>
      </c>
      <c r="R213" s="30" t="n">
        <v>70</v>
      </c>
      <c r="S213" s="30" t="n">
        <v>4896.8</v>
      </c>
      <c r="T213" s="30" t="n">
        <v>4896.8</v>
      </c>
      <c r="U213" s="30" t="n">
        <v>3804</v>
      </c>
      <c r="V213" s="30" t="n">
        <v>1092.8</v>
      </c>
      <c r="W213" s="30" t="s">
        <v>53</v>
      </c>
      <c r="X213" s="30" t="s">
        <v>53</v>
      </c>
      <c r="Y213" s="30" t="s">
        <v>53</v>
      </c>
      <c r="Z213" s="30" t="s">
        <v>53</v>
      </c>
      <c r="AA213" s="30" t="s">
        <v>53</v>
      </c>
      <c r="AB213" s="30" t="s">
        <v>53</v>
      </c>
      <c r="AC213" s="30" t="s">
        <v>53</v>
      </c>
      <c r="AD213" s="30" t="s">
        <v>53</v>
      </c>
      <c r="AE213" s="30" t="s">
        <v>54</v>
      </c>
      <c r="AF213" s="30" t="n">
        <v>0</v>
      </c>
      <c r="AG213" s="30" t="n">
        <v>0</v>
      </c>
      <c r="AH213" s="30" t="n">
        <v>1</v>
      </c>
      <c r="AI213" s="30" t="n">
        <v>0</v>
      </c>
      <c r="AJ213" s="30" t="n">
        <v>1</v>
      </c>
      <c r="AK213" s="30" t="n">
        <v>0</v>
      </c>
      <c r="AL213" s="31"/>
    </row>
    <row collapsed="false" customFormat="false" customHeight="false" hidden="false" ht="14.5" outlineLevel="0" r="214">
      <c r="A214" s="30" t="n">
        <v>205</v>
      </c>
      <c r="B214" s="30" t="s">
        <v>45</v>
      </c>
      <c r="C214" s="30" t="s">
        <v>59</v>
      </c>
      <c r="D214" s="30" t="s">
        <v>326</v>
      </c>
      <c r="E214" s="30" t="s">
        <v>333</v>
      </c>
      <c r="F214" s="30"/>
      <c r="G214" s="30"/>
      <c r="H214" s="30" t="s">
        <v>334</v>
      </c>
      <c r="I214" s="30" t="s">
        <v>56</v>
      </c>
      <c r="J214" s="30"/>
      <c r="K214" s="30" t="s">
        <v>101</v>
      </c>
      <c r="L214" s="30" t="s">
        <v>65</v>
      </c>
      <c r="M214" s="30" t="n">
        <v>1978</v>
      </c>
      <c r="N214" s="30" t="s">
        <v>58</v>
      </c>
      <c r="O214" s="30" t="n">
        <v>4</v>
      </c>
      <c r="P214" s="30" t="n">
        <v>0</v>
      </c>
      <c r="Q214" s="30" t="n">
        <v>4</v>
      </c>
      <c r="R214" s="30" t="n">
        <v>57</v>
      </c>
      <c r="S214" s="30" t="n">
        <v>3453.8</v>
      </c>
      <c r="T214" s="30" t="n">
        <v>3453.8</v>
      </c>
      <c r="U214" s="30" t="n">
        <v>3392</v>
      </c>
      <c r="V214" s="30" t="n">
        <v>61.8</v>
      </c>
      <c r="W214" s="30" t="s">
        <v>53</v>
      </c>
      <c r="X214" s="30" t="s">
        <v>53</v>
      </c>
      <c r="Y214" s="30" t="s">
        <v>53</v>
      </c>
      <c r="Z214" s="30" t="s">
        <v>53</v>
      </c>
      <c r="AA214" s="30" t="s">
        <v>53</v>
      </c>
      <c r="AB214" s="30" t="s">
        <v>53</v>
      </c>
      <c r="AC214" s="30" t="s">
        <v>53</v>
      </c>
      <c r="AD214" s="30" t="s">
        <v>53</v>
      </c>
      <c r="AE214" s="30" t="s">
        <v>54</v>
      </c>
      <c r="AF214" s="30" t="n">
        <v>0</v>
      </c>
      <c r="AG214" s="30" t="n">
        <v>0</v>
      </c>
      <c r="AH214" s="30" t="n">
        <v>1</v>
      </c>
      <c r="AI214" s="30" t="n">
        <v>0</v>
      </c>
      <c r="AJ214" s="30" t="n">
        <v>1</v>
      </c>
      <c r="AK214" s="30" t="n">
        <v>0</v>
      </c>
      <c r="AL214" s="26"/>
    </row>
    <row collapsed="false" customFormat="false" customHeight="false" hidden="false" ht="14.5" outlineLevel="0" r="215">
      <c r="A215" s="30" t="n">
        <v>206</v>
      </c>
      <c r="B215" s="30" t="s">
        <v>45</v>
      </c>
      <c r="C215" s="30" t="s">
        <v>266</v>
      </c>
      <c r="D215" s="30" t="s">
        <v>335</v>
      </c>
      <c r="E215" s="30" t="s">
        <v>336</v>
      </c>
      <c r="F215" s="30"/>
      <c r="G215" s="30"/>
      <c r="H215" s="30" t="s">
        <v>337</v>
      </c>
      <c r="I215" s="30" t="s">
        <v>56</v>
      </c>
      <c r="J215" s="30"/>
      <c r="K215" s="30"/>
      <c r="L215" s="30"/>
      <c r="M215" s="30"/>
      <c r="N215" s="30"/>
      <c r="O215" s="30"/>
      <c r="P215" s="30"/>
      <c r="Q215" s="30"/>
      <c r="R215" s="30"/>
      <c r="S215" s="30" t="n">
        <v>410.6</v>
      </c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26"/>
    </row>
    <row collapsed="false" customFormat="false" customHeight="false" hidden="false" ht="14.5" outlineLevel="0" r="216">
      <c r="A216" s="30" t="n">
        <v>207</v>
      </c>
      <c r="B216" s="30" t="s">
        <v>45</v>
      </c>
      <c r="C216" s="30" t="s">
        <v>46</v>
      </c>
      <c r="D216" s="30" t="s">
        <v>335</v>
      </c>
      <c r="E216" s="30" t="n">
        <v>12</v>
      </c>
      <c r="F216" s="30"/>
      <c r="G216" s="30"/>
      <c r="H216" s="30" t="s">
        <v>338</v>
      </c>
      <c r="I216" s="30" t="s">
        <v>56</v>
      </c>
      <c r="J216" s="30"/>
      <c r="K216" s="30" t="s">
        <v>81</v>
      </c>
      <c r="L216" s="30" t="s">
        <v>57</v>
      </c>
      <c r="M216" s="30" t="n">
        <v>1955</v>
      </c>
      <c r="N216" s="30" t="s">
        <v>58</v>
      </c>
      <c r="O216" s="30" t="n">
        <v>2</v>
      </c>
      <c r="P216" s="30" t="n">
        <v>0</v>
      </c>
      <c r="Q216" s="30" t="n">
        <v>2</v>
      </c>
      <c r="R216" s="30" t="n">
        <v>11</v>
      </c>
      <c r="S216" s="30" t="n">
        <v>813.6</v>
      </c>
      <c r="T216" s="30" t="n">
        <v>813.6</v>
      </c>
      <c r="U216" s="30" t="n">
        <v>813.6</v>
      </c>
      <c r="V216" s="30"/>
      <c r="W216" s="30" t="s">
        <v>53</v>
      </c>
      <c r="X216" s="30" t="s">
        <v>53</v>
      </c>
      <c r="Y216" s="30" t="s">
        <v>54</v>
      </c>
      <c r="Z216" s="30" t="s">
        <v>53</v>
      </c>
      <c r="AA216" s="30" t="s">
        <v>53</v>
      </c>
      <c r="AB216" s="30" t="s">
        <v>53</v>
      </c>
      <c r="AC216" s="30" t="s">
        <v>53</v>
      </c>
      <c r="AD216" s="30" t="s">
        <v>53</v>
      </c>
      <c r="AE216" s="30" t="s">
        <v>54</v>
      </c>
      <c r="AF216" s="30" t="n">
        <v>0</v>
      </c>
      <c r="AG216" s="30" t="n">
        <v>0</v>
      </c>
      <c r="AH216" s="30" t="n">
        <v>1</v>
      </c>
      <c r="AI216" s="30" t="n">
        <v>0</v>
      </c>
      <c r="AJ216" s="30" t="n">
        <v>1</v>
      </c>
      <c r="AK216" s="30" t="n">
        <v>0</v>
      </c>
      <c r="AL216" s="26"/>
    </row>
    <row collapsed="false" customFormat="false" customHeight="false" hidden="false" ht="14.5" outlineLevel="0" r="217">
      <c r="A217" s="30" t="n">
        <v>208</v>
      </c>
      <c r="B217" s="30" t="s">
        <v>45</v>
      </c>
      <c r="C217" s="30" t="s">
        <v>46</v>
      </c>
      <c r="D217" s="30" t="s">
        <v>335</v>
      </c>
      <c r="E217" s="30" t="n">
        <v>14</v>
      </c>
      <c r="F217" s="30"/>
      <c r="G217" s="30"/>
      <c r="H217" s="30" t="s">
        <v>339</v>
      </c>
      <c r="I217" s="30" t="s">
        <v>56</v>
      </c>
      <c r="J217" s="30"/>
      <c r="K217" s="30" t="s">
        <v>81</v>
      </c>
      <c r="L217" s="30" t="s">
        <v>57</v>
      </c>
      <c r="M217" s="30" t="n">
        <v>1955</v>
      </c>
      <c r="N217" s="30" t="s">
        <v>58</v>
      </c>
      <c r="O217" s="30" t="n">
        <v>2</v>
      </c>
      <c r="P217" s="30" t="n">
        <v>0</v>
      </c>
      <c r="Q217" s="30" t="n">
        <v>2</v>
      </c>
      <c r="R217" s="30" t="n">
        <v>12</v>
      </c>
      <c r="S217" s="30" t="n">
        <v>671.14</v>
      </c>
      <c r="T217" s="30" t="n">
        <v>671.14</v>
      </c>
      <c r="U217" s="30" t="n">
        <v>671.14</v>
      </c>
      <c r="V217" s="30"/>
      <c r="W217" s="30" t="s">
        <v>53</v>
      </c>
      <c r="X217" s="30" t="s">
        <v>53</v>
      </c>
      <c r="Y217" s="30" t="s">
        <v>54</v>
      </c>
      <c r="Z217" s="30" t="s">
        <v>53</v>
      </c>
      <c r="AA217" s="30" t="s">
        <v>53</v>
      </c>
      <c r="AB217" s="30" t="s">
        <v>53</v>
      </c>
      <c r="AC217" s="30" t="s">
        <v>53</v>
      </c>
      <c r="AD217" s="30" t="s">
        <v>53</v>
      </c>
      <c r="AE217" s="30" t="s">
        <v>54</v>
      </c>
      <c r="AF217" s="30" t="n">
        <v>0</v>
      </c>
      <c r="AG217" s="30" t="n">
        <v>0</v>
      </c>
      <c r="AH217" s="30" t="n">
        <v>1</v>
      </c>
      <c r="AI217" s="30" t="n">
        <v>0</v>
      </c>
      <c r="AJ217" s="30" t="n">
        <v>1</v>
      </c>
      <c r="AK217" s="30" t="n">
        <v>0</v>
      </c>
      <c r="AL217" s="26"/>
    </row>
    <row collapsed="false" customFormat="false" customHeight="false" hidden="false" ht="14.5" outlineLevel="0" r="218">
      <c r="A218" s="30" t="n">
        <v>209</v>
      </c>
      <c r="B218" s="30" t="s">
        <v>45</v>
      </c>
      <c r="C218" s="30" t="s">
        <v>46</v>
      </c>
      <c r="D218" s="30" t="s">
        <v>335</v>
      </c>
      <c r="E218" s="30" t="n">
        <v>16</v>
      </c>
      <c r="F218" s="30"/>
      <c r="G218" s="30"/>
      <c r="H218" s="30" t="s">
        <v>340</v>
      </c>
      <c r="I218" s="30" t="s">
        <v>56</v>
      </c>
      <c r="J218" s="30"/>
      <c r="K218" s="30" t="s">
        <v>101</v>
      </c>
      <c r="L218" s="30" t="s">
        <v>51</v>
      </c>
      <c r="M218" s="30" t="n">
        <v>1982</v>
      </c>
      <c r="N218" s="30" t="s">
        <v>58</v>
      </c>
      <c r="O218" s="30" t="n">
        <v>5</v>
      </c>
      <c r="P218" s="30" t="n">
        <v>0</v>
      </c>
      <c r="Q218" s="30" t="n">
        <v>7</v>
      </c>
      <c r="R218" s="30" t="n">
        <v>105</v>
      </c>
      <c r="S218" s="30" t="n">
        <v>5382.8</v>
      </c>
      <c r="T218" s="30" t="n">
        <v>5382.8</v>
      </c>
      <c r="U218" s="30" t="n">
        <v>4824</v>
      </c>
      <c r="V218" s="30" t="n">
        <v>558.8</v>
      </c>
      <c r="W218" s="30" t="s">
        <v>53</v>
      </c>
      <c r="X218" s="30" t="s">
        <v>53</v>
      </c>
      <c r="Y218" s="30" t="s">
        <v>54</v>
      </c>
      <c r="Z218" s="30" t="s">
        <v>53</v>
      </c>
      <c r="AA218" s="30" t="s">
        <v>53</v>
      </c>
      <c r="AB218" s="30" t="s">
        <v>53</v>
      </c>
      <c r="AC218" s="30" t="s">
        <v>53</v>
      </c>
      <c r="AD218" s="30" t="s">
        <v>53</v>
      </c>
      <c r="AE218" s="30" t="s">
        <v>54</v>
      </c>
      <c r="AF218" s="30" t="n">
        <v>0</v>
      </c>
      <c r="AG218" s="30" t="n">
        <v>0</v>
      </c>
      <c r="AH218" s="30" t="n">
        <v>2</v>
      </c>
      <c r="AI218" s="30" t="n">
        <v>0</v>
      </c>
      <c r="AJ218" s="30" t="n">
        <v>4</v>
      </c>
      <c r="AK218" s="30" t="n">
        <v>0</v>
      </c>
      <c r="AL218" s="26"/>
    </row>
    <row collapsed="false" customFormat="false" customHeight="false" hidden="false" ht="14.5" outlineLevel="0" r="219">
      <c r="A219" s="30" t="n">
        <v>210</v>
      </c>
      <c r="B219" s="30" t="s">
        <v>45</v>
      </c>
      <c r="C219" s="30" t="s">
        <v>46</v>
      </c>
      <c r="D219" s="30" t="s">
        <v>335</v>
      </c>
      <c r="E219" s="30" t="n">
        <v>17</v>
      </c>
      <c r="F219" s="30"/>
      <c r="G219" s="30"/>
      <c r="H219" s="30" t="s">
        <v>341</v>
      </c>
      <c r="I219" s="30" t="s">
        <v>56</v>
      </c>
      <c r="J219" s="30"/>
      <c r="K219" s="30" t="s">
        <v>57</v>
      </c>
      <c r="L219" s="30" t="s">
        <v>57</v>
      </c>
      <c r="M219" s="30" t="n">
        <v>1841</v>
      </c>
      <c r="N219" s="30" t="s">
        <v>58</v>
      </c>
      <c r="O219" s="30" t="n">
        <v>2</v>
      </c>
      <c r="P219" s="30" t="n">
        <v>0</v>
      </c>
      <c r="Q219" s="30" t="n">
        <v>1</v>
      </c>
      <c r="R219" s="30" t="n">
        <v>16</v>
      </c>
      <c r="S219" s="30" t="n">
        <v>844.1</v>
      </c>
      <c r="T219" s="30" t="n">
        <v>844.1</v>
      </c>
      <c r="U219" s="30" t="n">
        <v>844.1</v>
      </c>
      <c r="V219" s="30"/>
      <c r="W219" s="30" t="s">
        <v>53</v>
      </c>
      <c r="X219" s="30" t="s">
        <v>53</v>
      </c>
      <c r="Y219" s="30" t="s">
        <v>54</v>
      </c>
      <c r="Z219" s="30" t="s">
        <v>53</v>
      </c>
      <c r="AA219" s="30" t="s">
        <v>53</v>
      </c>
      <c r="AB219" s="30" t="s">
        <v>53</v>
      </c>
      <c r="AC219" s="30" t="s">
        <v>53</v>
      </c>
      <c r="AD219" s="30" t="s">
        <v>53</v>
      </c>
      <c r="AE219" s="30" t="s">
        <v>54</v>
      </c>
      <c r="AF219" s="30" t="n">
        <v>0</v>
      </c>
      <c r="AG219" s="30" t="n">
        <v>0</v>
      </c>
      <c r="AH219" s="30" t="n">
        <v>1</v>
      </c>
      <c r="AI219" s="30" t="n">
        <v>0</v>
      </c>
      <c r="AJ219" s="30" t="n">
        <v>1</v>
      </c>
      <c r="AK219" s="30" t="n">
        <v>0</v>
      </c>
      <c r="AL219" s="26"/>
    </row>
    <row collapsed="false" customFormat="false" customHeight="false" hidden="false" ht="14.5" outlineLevel="0" r="220">
      <c r="A220" s="30" t="n">
        <v>211</v>
      </c>
      <c r="B220" s="30" t="s">
        <v>45</v>
      </c>
      <c r="C220" s="30" t="s">
        <v>46</v>
      </c>
      <c r="D220" s="30" t="s">
        <v>342</v>
      </c>
      <c r="E220" s="30" t="n">
        <v>4</v>
      </c>
      <c r="F220" s="30"/>
      <c r="G220" s="30"/>
      <c r="H220" s="30" t="s">
        <v>343</v>
      </c>
      <c r="I220" s="30" t="s">
        <v>56</v>
      </c>
      <c r="J220" s="30"/>
      <c r="K220" s="30" t="s">
        <v>64</v>
      </c>
      <c r="L220" s="30" t="s">
        <v>57</v>
      </c>
      <c r="M220" s="30" t="n">
        <v>1963</v>
      </c>
      <c r="N220" s="30" t="s">
        <v>58</v>
      </c>
      <c r="O220" s="30" t="n">
        <v>3</v>
      </c>
      <c r="P220" s="30" t="n">
        <v>0</v>
      </c>
      <c r="Q220" s="30" t="n">
        <v>2</v>
      </c>
      <c r="R220" s="30" t="n">
        <v>24</v>
      </c>
      <c r="S220" s="30" t="n">
        <v>969.8</v>
      </c>
      <c r="T220" s="30" t="n">
        <v>969.8</v>
      </c>
      <c r="U220" s="30" t="n">
        <v>969.8</v>
      </c>
      <c r="V220" s="30"/>
      <c r="W220" s="30" t="s">
        <v>53</v>
      </c>
      <c r="X220" s="30" t="s">
        <v>53</v>
      </c>
      <c r="Y220" s="30" t="s">
        <v>54</v>
      </c>
      <c r="Z220" s="30" t="s">
        <v>53</v>
      </c>
      <c r="AA220" s="30" t="s">
        <v>53</v>
      </c>
      <c r="AB220" s="30" t="s">
        <v>53</v>
      </c>
      <c r="AC220" s="30" t="s">
        <v>53</v>
      </c>
      <c r="AD220" s="30" t="s">
        <v>53</v>
      </c>
      <c r="AE220" s="30" t="s">
        <v>54</v>
      </c>
      <c r="AF220" s="30" t="n">
        <v>0</v>
      </c>
      <c r="AG220" s="30" t="n">
        <v>0</v>
      </c>
      <c r="AH220" s="30" t="n">
        <v>1</v>
      </c>
      <c r="AI220" s="30" t="n">
        <v>0</v>
      </c>
      <c r="AJ220" s="30" t="n">
        <v>1</v>
      </c>
      <c r="AK220" s="30" t="n">
        <v>0</v>
      </c>
      <c r="AL220" s="26"/>
    </row>
    <row collapsed="false" customFormat="true" customHeight="false" hidden="false" ht="14.5" outlineLevel="0" r="221" s="2">
      <c r="A221" s="30" t="n">
        <v>212</v>
      </c>
      <c r="B221" s="30" t="s">
        <v>45</v>
      </c>
      <c r="C221" s="30" t="s">
        <v>46</v>
      </c>
      <c r="D221" s="30" t="s">
        <v>342</v>
      </c>
      <c r="E221" s="30" t="n">
        <v>8</v>
      </c>
      <c r="F221" s="30"/>
      <c r="G221" s="30"/>
      <c r="H221" s="30" t="s">
        <v>344</v>
      </c>
      <c r="I221" s="30" t="s">
        <v>56</v>
      </c>
      <c r="J221" s="30"/>
      <c r="K221" s="30" t="s">
        <v>64</v>
      </c>
      <c r="L221" s="30" t="s">
        <v>65</v>
      </c>
      <c r="M221" s="30" t="n">
        <v>1964</v>
      </c>
      <c r="N221" s="30" t="s">
        <v>58</v>
      </c>
      <c r="O221" s="30" t="n">
        <v>4</v>
      </c>
      <c r="P221" s="30" t="n">
        <v>0</v>
      </c>
      <c r="Q221" s="30" t="n">
        <v>3</v>
      </c>
      <c r="R221" s="30" t="n">
        <v>48</v>
      </c>
      <c r="S221" s="30" t="n">
        <v>2045.3</v>
      </c>
      <c r="T221" s="30" t="n">
        <v>2045.3</v>
      </c>
      <c r="U221" s="30" t="n">
        <v>2045.3</v>
      </c>
      <c r="V221" s="30"/>
      <c r="W221" s="30" t="s">
        <v>53</v>
      </c>
      <c r="X221" s="30" t="s">
        <v>53</v>
      </c>
      <c r="Y221" s="30" t="s">
        <v>54</v>
      </c>
      <c r="Z221" s="30" t="s">
        <v>53</v>
      </c>
      <c r="AA221" s="30" t="s">
        <v>53</v>
      </c>
      <c r="AB221" s="30" t="s">
        <v>53</v>
      </c>
      <c r="AC221" s="30" t="s">
        <v>53</v>
      </c>
      <c r="AD221" s="30" t="s">
        <v>53</v>
      </c>
      <c r="AE221" s="30" t="s">
        <v>54</v>
      </c>
      <c r="AF221" s="30" t="n">
        <v>0</v>
      </c>
      <c r="AG221" s="30" t="n">
        <v>0</v>
      </c>
      <c r="AH221" s="30" t="n">
        <v>1</v>
      </c>
      <c r="AI221" s="30" t="n">
        <v>0</v>
      </c>
      <c r="AJ221" s="30" t="n">
        <v>1</v>
      </c>
      <c r="AK221" s="30" t="n">
        <v>0</v>
      </c>
      <c r="AL221" s="31"/>
    </row>
    <row collapsed="false" customFormat="true" customHeight="false" hidden="false" ht="14.5" outlineLevel="0" r="222" s="2">
      <c r="A222" s="30" t="n">
        <v>213</v>
      </c>
      <c r="B222" s="30" t="s">
        <v>45</v>
      </c>
      <c r="C222" s="30" t="s">
        <v>46</v>
      </c>
      <c r="D222" s="30" t="s">
        <v>342</v>
      </c>
      <c r="E222" s="30" t="n">
        <v>10</v>
      </c>
      <c r="F222" s="30"/>
      <c r="G222" s="30"/>
      <c r="H222" s="30" t="s">
        <v>345</v>
      </c>
      <c r="I222" s="30" t="s">
        <v>56</v>
      </c>
      <c r="J222" s="30"/>
      <c r="K222" s="30" t="s">
        <v>64</v>
      </c>
      <c r="L222" s="30" t="s">
        <v>57</v>
      </c>
      <c r="M222" s="30" t="n">
        <v>1962</v>
      </c>
      <c r="N222" s="30" t="s">
        <v>58</v>
      </c>
      <c r="O222" s="30" t="n">
        <v>3</v>
      </c>
      <c r="P222" s="30" t="n">
        <v>0</v>
      </c>
      <c r="Q222" s="30" t="n">
        <v>2</v>
      </c>
      <c r="R222" s="30" t="n">
        <v>24</v>
      </c>
      <c r="S222" s="30" t="n">
        <v>972.6</v>
      </c>
      <c r="T222" s="30" t="n">
        <v>972.6</v>
      </c>
      <c r="U222" s="30" t="n">
        <v>972.6</v>
      </c>
      <c r="V222" s="30"/>
      <c r="W222" s="30" t="s">
        <v>53</v>
      </c>
      <c r="X222" s="30" t="s">
        <v>53</v>
      </c>
      <c r="Y222" s="30" t="s">
        <v>54</v>
      </c>
      <c r="Z222" s="30" t="s">
        <v>53</v>
      </c>
      <c r="AA222" s="30" t="s">
        <v>53</v>
      </c>
      <c r="AB222" s="30" t="s">
        <v>53</v>
      </c>
      <c r="AC222" s="30" t="s">
        <v>53</v>
      </c>
      <c r="AD222" s="30" t="s">
        <v>53</v>
      </c>
      <c r="AE222" s="30" t="s">
        <v>54</v>
      </c>
      <c r="AF222" s="30" t="n">
        <v>0</v>
      </c>
      <c r="AG222" s="30" t="n">
        <v>1</v>
      </c>
      <c r="AH222" s="30" t="n">
        <v>1</v>
      </c>
      <c r="AI222" s="30" t="n">
        <v>0</v>
      </c>
      <c r="AJ222" s="30" t="n">
        <v>1</v>
      </c>
      <c r="AK222" s="30" t="n">
        <v>0</v>
      </c>
      <c r="AL222" s="31"/>
    </row>
    <row collapsed="false" customFormat="false" customHeight="false" hidden="false" ht="14.5" outlineLevel="0" r="223">
      <c r="A223" s="30" t="n">
        <v>214</v>
      </c>
      <c r="B223" s="30" t="s">
        <v>45</v>
      </c>
      <c r="C223" s="30" t="s">
        <v>266</v>
      </c>
      <c r="D223" s="30" t="s">
        <v>342</v>
      </c>
      <c r="E223" s="30" t="n">
        <v>12</v>
      </c>
      <c r="F223" s="30"/>
      <c r="G223" s="30"/>
      <c r="H223" s="30" t="s">
        <v>346</v>
      </c>
      <c r="I223" s="30" t="s">
        <v>56</v>
      </c>
      <c r="J223" s="30"/>
      <c r="K223" s="30"/>
      <c r="L223" s="30"/>
      <c r="M223" s="30"/>
      <c r="N223" s="30"/>
      <c r="O223" s="30"/>
      <c r="P223" s="30"/>
      <c r="Q223" s="30"/>
      <c r="R223" s="30"/>
      <c r="S223" s="30" t="n">
        <v>292.6</v>
      </c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26"/>
    </row>
    <row collapsed="false" customFormat="false" customHeight="false" hidden="false" ht="14.5" outlineLevel="0" r="224">
      <c r="A224" s="30" t="n">
        <v>215</v>
      </c>
      <c r="B224" s="30" t="s">
        <v>45</v>
      </c>
      <c r="C224" s="30" t="s">
        <v>266</v>
      </c>
      <c r="D224" s="30" t="s">
        <v>342</v>
      </c>
      <c r="E224" s="30" t="n">
        <v>14</v>
      </c>
      <c r="F224" s="30"/>
      <c r="G224" s="30"/>
      <c r="H224" s="30" t="s">
        <v>347</v>
      </c>
      <c r="I224" s="30" t="s">
        <v>56</v>
      </c>
      <c r="J224" s="30"/>
      <c r="K224" s="30"/>
      <c r="L224" s="30"/>
      <c r="M224" s="30"/>
      <c r="N224" s="30"/>
      <c r="O224" s="30"/>
      <c r="P224" s="30"/>
      <c r="Q224" s="30"/>
      <c r="R224" s="30"/>
      <c r="S224" s="30" t="n">
        <v>457.2</v>
      </c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26"/>
    </row>
    <row collapsed="false" customFormat="false" customHeight="false" hidden="false" ht="14.5" outlineLevel="0" r="225">
      <c r="A225" s="30" t="n">
        <v>216</v>
      </c>
      <c r="B225" s="30" t="s">
        <v>45</v>
      </c>
      <c r="C225" s="30" t="s">
        <v>46</v>
      </c>
      <c r="D225" s="30" t="s">
        <v>342</v>
      </c>
      <c r="E225" s="30" t="n">
        <v>23</v>
      </c>
      <c r="F225" s="30"/>
      <c r="G225" s="30"/>
      <c r="H225" s="30" t="s">
        <v>348</v>
      </c>
      <c r="I225" s="30" t="s">
        <v>56</v>
      </c>
      <c r="J225" s="30"/>
      <c r="K225" s="30" t="s">
        <v>64</v>
      </c>
      <c r="L225" s="30" t="s">
        <v>103</v>
      </c>
      <c r="M225" s="30" t="n">
        <v>1965</v>
      </c>
      <c r="N225" s="30" t="s">
        <v>108</v>
      </c>
      <c r="O225" s="30" t="n">
        <v>5</v>
      </c>
      <c r="P225" s="30" t="n">
        <v>0</v>
      </c>
      <c r="Q225" s="30" t="n">
        <v>4</v>
      </c>
      <c r="R225" s="30" t="n">
        <v>80</v>
      </c>
      <c r="S225" s="30" t="n">
        <v>2959.8</v>
      </c>
      <c r="T225" s="30" t="n">
        <v>2959.8</v>
      </c>
      <c r="U225" s="30" t="n">
        <v>2959.8</v>
      </c>
      <c r="V225" s="30"/>
      <c r="W225" s="30" t="s">
        <v>53</v>
      </c>
      <c r="X225" s="30" t="s">
        <v>53</v>
      </c>
      <c r="Y225" s="30" t="s">
        <v>53</v>
      </c>
      <c r="Z225" s="30" t="s">
        <v>53</v>
      </c>
      <c r="AA225" s="30" t="s">
        <v>53</v>
      </c>
      <c r="AB225" s="30" t="s">
        <v>53</v>
      </c>
      <c r="AC225" s="30" t="s">
        <v>54</v>
      </c>
      <c r="AD225" s="30" t="s">
        <v>53</v>
      </c>
      <c r="AE225" s="30" t="s">
        <v>54</v>
      </c>
      <c r="AF225" s="30" t="n">
        <v>0</v>
      </c>
      <c r="AG225" s="30" t="n">
        <v>0</v>
      </c>
      <c r="AH225" s="30" t="n">
        <v>1</v>
      </c>
      <c r="AI225" s="30" t="n">
        <v>0</v>
      </c>
      <c r="AJ225" s="30" t="n">
        <v>1</v>
      </c>
      <c r="AK225" s="30" t="n">
        <v>0</v>
      </c>
      <c r="AL225" s="26"/>
    </row>
    <row collapsed="false" customFormat="false" customHeight="false" hidden="false" ht="14.5" outlineLevel="0" r="226">
      <c r="A226" s="30" t="n">
        <v>217</v>
      </c>
      <c r="B226" s="30" t="s">
        <v>45</v>
      </c>
      <c r="C226" s="30" t="s">
        <v>46</v>
      </c>
      <c r="D226" s="30" t="s">
        <v>342</v>
      </c>
      <c r="E226" s="30" t="n">
        <v>23</v>
      </c>
      <c r="F226" s="30" t="s">
        <v>67</v>
      </c>
      <c r="G226" s="30"/>
      <c r="H226" s="30" t="s">
        <v>349</v>
      </c>
      <c r="I226" s="30" t="s">
        <v>56</v>
      </c>
      <c r="J226" s="30"/>
      <c r="K226" s="30" t="s">
        <v>101</v>
      </c>
      <c r="L226" s="30" t="s">
        <v>57</v>
      </c>
      <c r="M226" s="30" t="n">
        <v>1978</v>
      </c>
      <c r="N226" s="30" t="s">
        <v>58</v>
      </c>
      <c r="O226" s="30" t="n">
        <v>5</v>
      </c>
      <c r="P226" s="30" t="n">
        <v>0</v>
      </c>
      <c r="Q226" s="30" t="n">
        <v>4</v>
      </c>
      <c r="R226" s="30" t="n">
        <v>60</v>
      </c>
      <c r="S226" s="30" t="n">
        <v>2873.1</v>
      </c>
      <c r="T226" s="30" t="n">
        <v>2873.1</v>
      </c>
      <c r="U226" s="30" t="n">
        <v>2873.1</v>
      </c>
      <c r="V226" s="30"/>
      <c r="W226" s="30" t="s">
        <v>53</v>
      </c>
      <c r="X226" s="30" t="s">
        <v>53</v>
      </c>
      <c r="Y226" s="30" t="s">
        <v>53</v>
      </c>
      <c r="Z226" s="30" t="s">
        <v>53</v>
      </c>
      <c r="AA226" s="30" t="s">
        <v>53</v>
      </c>
      <c r="AB226" s="30" t="s">
        <v>53</v>
      </c>
      <c r="AC226" s="30" t="s">
        <v>54</v>
      </c>
      <c r="AD226" s="30" t="s">
        <v>53</v>
      </c>
      <c r="AE226" s="30" t="s">
        <v>54</v>
      </c>
      <c r="AF226" s="30" t="n">
        <v>0</v>
      </c>
      <c r="AG226" s="30" t="n">
        <v>0</v>
      </c>
      <c r="AH226" s="30" t="n">
        <v>1</v>
      </c>
      <c r="AI226" s="30" t="n">
        <v>0</v>
      </c>
      <c r="AJ226" s="30" t="n">
        <v>1</v>
      </c>
      <c r="AK226" s="30" t="n">
        <v>0</v>
      </c>
      <c r="AL226" s="26"/>
    </row>
    <row collapsed="false" customFormat="false" customHeight="false" hidden="false" ht="14.5" outlineLevel="0" r="227">
      <c r="A227" s="30" t="n">
        <v>218</v>
      </c>
      <c r="B227" s="30" t="s">
        <v>45</v>
      </c>
      <c r="C227" s="30" t="s">
        <v>46</v>
      </c>
      <c r="D227" s="30" t="s">
        <v>342</v>
      </c>
      <c r="E227" s="30" t="n">
        <v>27</v>
      </c>
      <c r="F227" s="30"/>
      <c r="G227" s="30"/>
      <c r="H227" s="30" t="s">
        <v>350</v>
      </c>
      <c r="I227" s="30" t="s">
        <v>56</v>
      </c>
      <c r="J227" s="30"/>
      <c r="K227" s="30" t="s">
        <v>64</v>
      </c>
      <c r="L227" s="30" t="s">
        <v>103</v>
      </c>
      <c r="M227" s="30" t="n">
        <v>1964</v>
      </c>
      <c r="N227" s="30" t="s">
        <v>108</v>
      </c>
      <c r="O227" s="30" t="n">
        <v>5</v>
      </c>
      <c r="P227" s="30" t="n">
        <v>0</v>
      </c>
      <c r="Q227" s="30" t="n">
        <v>4</v>
      </c>
      <c r="R227" s="30" t="n">
        <v>80</v>
      </c>
      <c r="S227" s="30" t="n">
        <v>3181.5</v>
      </c>
      <c r="T227" s="30" t="n">
        <v>3181.5</v>
      </c>
      <c r="U227" s="30" t="n">
        <v>3181.5</v>
      </c>
      <c r="V227" s="30"/>
      <c r="W227" s="30" t="s">
        <v>53</v>
      </c>
      <c r="X227" s="30" t="s">
        <v>53</v>
      </c>
      <c r="Y227" s="30" t="s">
        <v>53</v>
      </c>
      <c r="Z227" s="30" t="s">
        <v>53</v>
      </c>
      <c r="AA227" s="30" t="s">
        <v>53</v>
      </c>
      <c r="AB227" s="30" t="s">
        <v>53</v>
      </c>
      <c r="AC227" s="30" t="s">
        <v>54</v>
      </c>
      <c r="AD227" s="30" t="s">
        <v>53</v>
      </c>
      <c r="AE227" s="30" t="s">
        <v>54</v>
      </c>
      <c r="AF227" s="30" t="n">
        <v>0</v>
      </c>
      <c r="AG227" s="30" t="n">
        <v>0</v>
      </c>
      <c r="AH227" s="30" t="n">
        <v>1</v>
      </c>
      <c r="AI227" s="30" t="n">
        <v>0</v>
      </c>
      <c r="AJ227" s="30" t="n">
        <v>1</v>
      </c>
      <c r="AK227" s="30" t="n">
        <v>0</v>
      </c>
      <c r="AL227" s="26"/>
    </row>
    <row collapsed="false" customFormat="false" customHeight="false" hidden="false" ht="14.5" outlineLevel="0" r="228">
      <c r="A228" s="30" t="n">
        <v>219</v>
      </c>
      <c r="B228" s="30" t="s">
        <v>45</v>
      </c>
      <c r="C228" s="30" t="s">
        <v>46</v>
      </c>
      <c r="D228" s="30" t="s">
        <v>342</v>
      </c>
      <c r="E228" s="30" t="n">
        <v>29</v>
      </c>
      <c r="F228" s="30"/>
      <c r="G228" s="30"/>
      <c r="H228" s="30" t="s">
        <v>351</v>
      </c>
      <c r="I228" s="30" t="s">
        <v>56</v>
      </c>
      <c r="J228" s="30"/>
      <c r="K228" s="30" t="s">
        <v>64</v>
      </c>
      <c r="L228" s="30" t="s">
        <v>103</v>
      </c>
      <c r="M228" s="30" t="n">
        <v>1964</v>
      </c>
      <c r="N228" s="30" t="s">
        <v>108</v>
      </c>
      <c r="O228" s="30" t="n">
        <v>5</v>
      </c>
      <c r="P228" s="30" t="n">
        <v>0</v>
      </c>
      <c r="Q228" s="30" t="n">
        <v>4</v>
      </c>
      <c r="R228" s="30" t="n">
        <v>80</v>
      </c>
      <c r="S228" s="30" t="n">
        <v>3172.8</v>
      </c>
      <c r="T228" s="30" t="n">
        <v>3172.8</v>
      </c>
      <c r="U228" s="30" t="n">
        <v>3172.8</v>
      </c>
      <c r="V228" s="30"/>
      <c r="W228" s="30" t="s">
        <v>53</v>
      </c>
      <c r="X228" s="30" t="s">
        <v>53</v>
      </c>
      <c r="Y228" s="30" t="s">
        <v>53</v>
      </c>
      <c r="Z228" s="30" t="s">
        <v>53</v>
      </c>
      <c r="AA228" s="30" t="s">
        <v>53</v>
      </c>
      <c r="AB228" s="30" t="s">
        <v>53</v>
      </c>
      <c r="AC228" s="30" t="s">
        <v>54</v>
      </c>
      <c r="AD228" s="30" t="s">
        <v>53</v>
      </c>
      <c r="AE228" s="30" t="s">
        <v>54</v>
      </c>
      <c r="AF228" s="30" t="n">
        <v>0</v>
      </c>
      <c r="AG228" s="30" t="n">
        <v>0</v>
      </c>
      <c r="AH228" s="30" t="n">
        <v>1</v>
      </c>
      <c r="AI228" s="30" t="n">
        <v>0</v>
      </c>
      <c r="AJ228" s="30" t="n">
        <v>1</v>
      </c>
      <c r="AK228" s="30" t="n">
        <v>0</v>
      </c>
      <c r="AL228" s="26"/>
    </row>
    <row collapsed="false" customFormat="false" customHeight="false" hidden="false" ht="14.5" outlineLevel="0" r="229">
      <c r="A229" s="30" t="n">
        <v>220</v>
      </c>
      <c r="B229" s="30" t="s">
        <v>45</v>
      </c>
      <c r="C229" s="30" t="s">
        <v>46</v>
      </c>
      <c r="D229" s="30" t="s">
        <v>342</v>
      </c>
      <c r="E229" s="30" t="n">
        <v>37</v>
      </c>
      <c r="F229" s="30"/>
      <c r="G229" s="30"/>
      <c r="H229" s="30" t="s">
        <v>352</v>
      </c>
      <c r="I229" s="30" t="s">
        <v>56</v>
      </c>
      <c r="J229" s="30"/>
      <c r="K229" s="30" t="s">
        <v>64</v>
      </c>
      <c r="L229" s="30" t="s">
        <v>65</v>
      </c>
      <c r="M229" s="30" t="n">
        <v>1970</v>
      </c>
      <c r="N229" s="30" t="s">
        <v>58</v>
      </c>
      <c r="O229" s="30" t="n">
        <v>5</v>
      </c>
      <c r="P229" s="30" t="n">
        <v>0</v>
      </c>
      <c r="Q229" s="30" t="n">
        <v>4</v>
      </c>
      <c r="R229" s="30" t="n">
        <v>78</v>
      </c>
      <c r="S229" s="30" t="n">
        <v>3591.1</v>
      </c>
      <c r="T229" s="30" t="n">
        <v>3591.1</v>
      </c>
      <c r="U229" s="30" t="n">
        <v>3515.1</v>
      </c>
      <c r="V229" s="30" t="n">
        <v>76</v>
      </c>
      <c r="W229" s="30" t="s">
        <v>53</v>
      </c>
      <c r="X229" s="30" t="s">
        <v>53</v>
      </c>
      <c r="Y229" s="30" t="s">
        <v>53</v>
      </c>
      <c r="Z229" s="30" t="s">
        <v>53</v>
      </c>
      <c r="AA229" s="30" t="s">
        <v>53</v>
      </c>
      <c r="AB229" s="30" t="s">
        <v>53</v>
      </c>
      <c r="AC229" s="30" t="s">
        <v>54</v>
      </c>
      <c r="AD229" s="30" t="s">
        <v>53</v>
      </c>
      <c r="AE229" s="30" t="s">
        <v>54</v>
      </c>
      <c r="AF229" s="30" t="n">
        <v>0</v>
      </c>
      <c r="AG229" s="30" t="n">
        <v>0</v>
      </c>
      <c r="AH229" s="30" t="n">
        <v>1</v>
      </c>
      <c r="AI229" s="30" t="n">
        <v>0</v>
      </c>
      <c r="AJ229" s="30" t="n">
        <v>1</v>
      </c>
      <c r="AK229" s="30" t="n">
        <v>0</v>
      </c>
      <c r="AL229" s="26"/>
    </row>
    <row collapsed="false" customFormat="false" customHeight="false" hidden="false" ht="14.5" outlineLevel="0" r="230">
      <c r="A230" s="30" t="n">
        <v>221</v>
      </c>
      <c r="B230" s="30" t="s">
        <v>45</v>
      </c>
      <c r="C230" s="30" t="s">
        <v>46</v>
      </c>
      <c r="D230" s="30" t="s">
        <v>342</v>
      </c>
      <c r="E230" s="30" t="n">
        <v>37</v>
      </c>
      <c r="F230" s="30" t="s">
        <v>67</v>
      </c>
      <c r="G230" s="30"/>
      <c r="H230" s="30" t="s">
        <v>353</v>
      </c>
      <c r="I230" s="30" t="s">
        <v>56</v>
      </c>
      <c r="J230" s="30"/>
      <c r="K230" s="30" t="s">
        <v>101</v>
      </c>
      <c r="L230" s="30" t="s">
        <v>65</v>
      </c>
      <c r="M230" s="30" t="n">
        <v>1973</v>
      </c>
      <c r="N230" s="30" t="s">
        <v>58</v>
      </c>
      <c r="O230" s="30" t="n">
        <v>5</v>
      </c>
      <c r="P230" s="30" t="n">
        <v>0</v>
      </c>
      <c r="Q230" s="30" t="n">
        <v>4</v>
      </c>
      <c r="R230" s="30" t="n">
        <v>78</v>
      </c>
      <c r="S230" s="30" t="n">
        <v>3562.3</v>
      </c>
      <c r="T230" s="30" t="n">
        <v>3562.3</v>
      </c>
      <c r="U230" s="30" t="n">
        <v>3499.1</v>
      </c>
      <c r="V230" s="30" t="n">
        <v>63.2</v>
      </c>
      <c r="W230" s="30" t="s">
        <v>53</v>
      </c>
      <c r="X230" s="30" t="s">
        <v>53</v>
      </c>
      <c r="Y230" s="30" t="s">
        <v>53</v>
      </c>
      <c r="Z230" s="30" t="s">
        <v>53</v>
      </c>
      <c r="AA230" s="30" t="s">
        <v>53</v>
      </c>
      <c r="AB230" s="30" t="s">
        <v>53</v>
      </c>
      <c r="AC230" s="30" t="s">
        <v>54</v>
      </c>
      <c r="AD230" s="30" t="s">
        <v>53</v>
      </c>
      <c r="AE230" s="30" t="s">
        <v>54</v>
      </c>
      <c r="AF230" s="30" t="n">
        <v>0</v>
      </c>
      <c r="AG230" s="30" t="n">
        <v>0</v>
      </c>
      <c r="AH230" s="30" t="n">
        <v>1</v>
      </c>
      <c r="AI230" s="30" t="n">
        <v>0</v>
      </c>
      <c r="AJ230" s="30" t="n">
        <v>1</v>
      </c>
      <c r="AK230" s="30" t="n">
        <v>0</v>
      </c>
      <c r="AL230" s="26"/>
    </row>
    <row collapsed="false" customFormat="false" customHeight="false" hidden="false" ht="14.5" outlineLevel="0" r="231">
      <c r="A231" s="30" t="n">
        <v>222</v>
      </c>
      <c r="B231" s="30" t="s">
        <v>45</v>
      </c>
      <c r="C231" s="30" t="s">
        <v>46</v>
      </c>
      <c r="D231" s="30" t="s">
        <v>354</v>
      </c>
      <c r="E231" s="30" t="n">
        <v>1</v>
      </c>
      <c r="F231" s="30"/>
      <c r="G231" s="30"/>
      <c r="H231" s="30" t="s">
        <v>355</v>
      </c>
      <c r="I231" s="30" t="s">
        <v>56</v>
      </c>
      <c r="J231" s="30"/>
      <c r="K231" s="30" t="s">
        <v>81</v>
      </c>
      <c r="L231" s="30" t="s">
        <v>51</v>
      </c>
      <c r="M231" s="30" t="n">
        <v>1939</v>
      </c>
      <c r="N231" s="30" t="s">
        <v>58</v>
      </c>
      <c r="O231" s="30" t="n">
        <v>4</v>
      </c>
      <c r="P231" s="30" t="n">
        <v>0</v>
      </c>
      <c r="Q231" s="30" t="n">
        <v>4</v>
      </c>
      <c r="R231" s="30" t="n">
        <v>32</v>
      </c>
      <c r="S231" s="30" t="n">
        <v>2888.3</v>
      </c>
      <c r="T231" s="30" t="n">
        <v>2888.3</v>
      </c>
      <c r="U231" s="30" t="n">
        <v>2888.3</v>
      </c>
      <c r="V231" s="30"/>
      <c r="W231" s="30" t="s">
        <v>53</v>
      </c>
      <c r="X231" s="30" t="s">
        <v>53</v>
      </c>
      <c r="Y231" s="30" t="s">
        <v>54</v>
      </c>
      <c r="Z231" s="30" t="s">
        <v>53</v>
      </c>
      <c r="AA231" s="30" t="s">
        <v>53</v>
      </c>
      <c r="AB231" s="30" t="s">
        <v>53</v>
      </c>
      <c r="AC231" s="30" t="s">
        <v>53</v>
      </c>
      <c r="AD231" s="30" t="s">
        <v>53</v>
      </c>
      <c r="AE231" s="30" t="s">
        <v>54</v>
      </c>
      <c r="AF231" s="30" t="n">
        <v>0</v>
      </c>
      <c r="AG231" s="30" t="n">
        <v>1</v>
      </c>
      <c r="AH231" s="30" t="n">
        <v>0</v>
      </c>
      <c r="AI231" s="30" t="n">
        <v>0</v>
      </c>
      <c r="AJ231" s="30" t="n">
        <v>1</v>
      </c>
      <c r="AK231" s="30" t="n">
        <v>0</v>
      </c>
      <c r="AL231" s="26"/>
    </row>
    <row collapsed="false" customFormat="false" customHeight="false" hidden="false" ht="14.5" outlineLevel="0" r="232">
      <c r="A232" s="30" t="n">
        <v>223</v>
      </c>
      <c r="B232" s="30" t="s">
        <v>45</v>
      </c>
      <c r="C232" s="30" t="s">
        <v>46</v>
      </c>
      <c r="D232" s="30" t="s">
        <v>354</v>
      </c>
      <c r="E232" s="30" t="n">
        <v>1</v>
      </c>
      <c r="F232" s="30" t="s">
        <v>67</v>
      </c>
      <c r="G232" s="30"/>
      <c r="H232" s="30" t="s">
        <v>356</v>
      </c>
      <c r="I232" s="30" t="s">
        <v>56</v>
      </c>
      <c r="J232" s="30"/>
      <c r="K232" s="30" t="s">
        <v>64</v>
      </c>
      <c r="L232" s="30" t="s">
        <v>65</v>
      </c>
      <c r="M232" s="30" t="n">
        <v>1959</v>
      </c>
      <c r="N232" s="30" t="s">
        <v>58</v>
      </c>
      <c r="O232" s="30" t="n">
        <v>5</v>
      </c>
      <c r="P232" s="30" t="n">
        <v>0</v>
      </c>
      <c r="Q232" s="30" t="n">
        <v>3</v>
      </c>
      <c r="R232" s="30" t="n">
        <v>60</v>
      </c>
      <c r="S232" s="30" t="n">
        <v>2559.8</v>
      </c>
      <c r="T232" s="30" t="n">
        <v>2559.8</v>
      </c>
      <c r="U232" s="30" t="n">
        <v>2559.8</v>
      </c>
      <c r="V232" s="30"/>
      <c r="W232" s="30" t="s">
        <v>53</v>
      </c>
      <c r="X232" s="30" t="s">
        <v>53</v>
      </c>
      <c r="Y232" s="30" t="s">
        <v>54</v>
      </c>
      <c r="Z232" s="30" t="s">
        <v>53</v>
      </c>
      <c r="AA232" s="30" t="s">
        <v>53</v>
      </c>
      <c r="AB232" s="30" t="s">
        <v>53</v>
      </c>
      <c r="AC232" s="30" t="s">
        <v>53</v>
      </c>
      <c r="AD232" s="30" t="s">
        <v>53</v>
      </c>
      <c r="AE232" s="30" t="s">
        <v>54</v>
      </c>
      <c r="AF232" s="30" t="n">
        <v>0</v>
      </c>
      <c r="AG232" s="30" t="n">
        <v>0</v>
      </c>
      <c r="AH232" s="30" t="n">
        <v>1</v>
      </c>
      <c r="AI232" s="30" t="n">
        <v>0</v>
      </c>
      <c r="AJ232" s="30" t="n">
        <v>1</v>
      </c>
      <c r="AK232" s="30" t="n">
        <v>0</v>
      </c>
      <c r="AL232" s="26"/>
    </row>
    <row collapsed="false" customFormat="false" customHeight="false" hidden="false" ht="14.5" outlineLevel="0" r="233">
      <c r="A233" s="30" t="n">
        <v>224</v>
      </c>
      <c r="B233" s="30" t="s">
        <v>45</v>
      </c>
      <c r="C233" s="30" t="s">
        <v>46</v>
      </c>
      <c r="D233" s="30" t="s">
        <v>354</v>
      </c>
      <c r="E233" s="30" t="n">
        <v>1</v>
      </c>
      <c r="F233" s="30" t="s">
        <v>69</v>
      </c>
      <c r="G233" s="30"/>
      <c r="H233" s="30" t="s">
        <v>357</v>
      </c>
      <c r="I233" s="30" t="s">
        <v>56</v>
      </c>
      <c r="J233" s="30"/>
      <c r="K233" s="30" t="s">
        <v>64</v>
      </c>
      <c r="L233" s="30" t="s">
        <v>51</v>
      </c>
      <c r="M233" s="30" t="n">
        <v>1960</v>
      </c>
      <c r="N233" s="30" t="s">
        <v>58</v>
      </c>
      <c r="O233" s="30" t="n">
        <v>5</v>
      </c>
      <c r="P233" s="30" t="n">
        <v>0</v>
      </c>
      <c r="Q233" s="30" t="n">
        <v>3</v>
      </c>
      <c r="R233" s="30" t="n">
        <v>60</v>
      </c>
      <c r="S233" s="30" t="n">
        <v>2588.5</v>
      </c>
      <c r="T233" s="30" t="n">
        <v>2588.5</v>
      </c>
      <c r="U233" s="30" t="n">
        <v>2588.5</v>
      </c>
      <c r="V233" s="30"/>
      <c r="W233" s="30" t="s">
        <v>53</v>
      </c>
      <c r="X233" s="30" t="s">
        <v>53</v>
      </c>
      <c r="Y233" s="30" t="s">
        <v>54</v>
      </c>
      <c r="Z233" s="30" t="s">
        <v>53</v>
      </c>
      <c r="AA233" s="30" t="s">
        <v>53</v>
      </c>
      <c r="AB233" s="30" t="s">
        <v>53</v>
      </c>
      <c r="AC233" s="30" t="s">
        <v>53</v>
      </c>
      <c r="AD233" s="30" t="s">
        <v>53</v>
      </c>
      <c r="AE233" s="30" t="s">
        <v>54</v>
      </c>
      <c r="AF233" s="30" t="n">
        <v>0</v>
      </c>
      <c r="AG233" s="30" t="n">
        <v>0</v>
      </c>
      <c r="AH233" s="30" t="n">
        <v>1</v>
      </c>
      <c r="AI233" s="30" t="n">
        <v>0</v>
      </c>
      <c r="AJ233" s="30" t="n">
        <v>1</v>
      </c>
      <c r="AK233" s="30" t="n">
        <v>0</v>
      </c>
      <c r="AL233" s="26"/>
    </row>
    <row collapsed="false" customFormat="false" customHeight="false" hidden="false" ht="14.5" outlineLevel="0" r="234">
      <c r="A234" s="30" t="n">
        <v>225</v>
      </c>
      <c r="B234" s="30" t="s">
        <v>45</v>
      </c>
      <c r="C234" s="30" t="s">
        <v>46</v>
      </c>
      <c r="D234" s="30" t="s">
        <v>354</v>
      </c>
      <c r="E234" s="30" t="n">
        <v>3</v>
      </c>
      <c r="F234" s="30"/>
      <c r="G234" s="30"/>
      <c r="H234" s="30" t="s">
        <v>358</v>
      </c>
      <c r="I234" s="30" t="s">
        <v>56</v>
      </c>
      <c r="J234" s="30"/>
      <c r="K234" s="30" t="s">
        <v>81</v>
      </c>
      <c r="L234" s="30" t="s">
        <v>51</v>
      </c>
      <c r="M234" s="30" t="n">
        <v>1939</v>
      </c>
      <c r="N234" s="30" t="s">
        <v>58</v>
      </c>
      <c r="O234" s="30" t="n">
        <v>4</v>
      </c>
      <c r="P234" s="30" t="n">
        <v>0</v>
      </c>
      <c r="Q234" s="30" t="n">
        <v>4</v>
      </c>
      <c r="R234" s="30" t="n">
        <v>32</v>
      </c>
      <c r="S234" s="30" t="n">
        <v>2873.4</v>
      </c>
      <c r="T234" s="30" t="n">
        <v>2873.4</v>
      </c>
      <c r="U234" s="30" t="n">
        <v>2873.4</v>
      </c>
      <c r="V234" s="30"/>
      <c r="W234" s="30" t="s">
        <v>53</v>
      </c>
      <c r="X234" s="30" t="s">
        <v>53</v>
      </c>
      <c r="Y234" s="30" t="s">
        <v>54</v>
      </c>
      <c r="Z234" s="30" t="s">
        <v>53</v>
      </c>
      <c r="AA234" s="30" t="s">
        <v>53</v>
      </c>
      <c r="AB234" s="30" t="s">
        <v>53</v>
      </c>
      <c r="AC234" s="30" t="s">
        <v>53</v>
      </c>
      <c r="AD234" s="30" t="s">
        <v>53</v>
      </c>
      <c r="AE234" s="30" t="s">
        <v>54</v>
      </c>
      <c r="AF234" s="30" t="n">
        <v>0</v>
      </c>
      <c r="AG234" s="30" t="n">
        <v>1</v>
      </c>
      <c r="AH234" s="30" t="n">
        <v>1</v>
      </c>
      <c r="AI234" s="30" t="n">
        <v>0</v>
      </c>
      <c r="AJ234" s="30" t="n">
        <v>1</v>
      </c>
      <c r="AK234" s="30" t="n">
        <v>0</v>
      </c>
      <c r="AL234" s="26"/>
    </row>
    <row collapsed="false" customFormat="false" customHeight="false" hidden="false" ht="14.5" outlineLevel="0" r="235">
      <c r="A235" s="30" t="n">
        <v>226</v>
      </c>
      <c r="B235" s="30" t="s">
        <v>45</v>
      </c>
      <c r="C235" s="30" t="s">
        <v>46</v>
      </c>
      <c r="D235" s="30" t="s">
        <v>354</v>
      </c>
      <c r="E235" s="30" t="n">
        <v>4</v>
      </c>
      <c r="F235" s="30"/>
      <c r="G235" s="30"/>
      <c r="H235" s="30" t="s">
        <v>359</v>
      </c>
      <c r="I235" s="30" t="s">
        <v>56</v>
      </c>
      <c r="J235" s="30"/>
      <c r="K235" s="30" t="s">
        <v>101</v>
      </c>
      <c r="L235" s="30" t="s">
        <v>57</v>
      </c>
      <c r="M235" s="30" t="n">
        <v>1988</v>
      </c>
      <c r="N235" s="30" t="s">
        <v>58</v>
      </c>
      <c r="O235" s="30" t="n">
        <v>5</v>
      </c>
      <c r="P235" s="30" t="n">
        <v>0</v>
      </c>
      <c r="Q235" s="30" t="n">
        <v>6</v>
      </c>
      <c r="R235" s="30" t="n">
        <v>74</v>
      </c>
      <c r="S235" s="30" t="n">
        <v>4431.2</v>
      </c>
      <c r="T235" s="30" t="n">
        <v>4431.2</v>
      </c>
      <c r="U235" s="30" t="n">
        <v>3552.5</v>
      </c>
      <c r="V235" s="30" t="n">
        <v>878.7</v>
      </c>
      <c r="W235" s="30" t="s">
        <v>53</v>
      </c>
      <c r="X235" s="30" t="s">
        <v>53</v>
      </c>
      <c r="Y235" s="30" t="s">
        <v>53</v>
      </c>
      <c r="Z235" s="30" t="s">
        <v>53</v>
      </c>
      <c r="AA235" s="30" t="s">
        <v>53</v>
      </c>
      <c r="AB235" s="30" t="s">
        <v>53</v>
      </c>
      <c r="AC235" s="30" t="s">
        <v>54</v>
      </c>
      <c r="AD235" s="30" t="s">
        <v>53</v>
      </c>
      <c r="AE235" s="30" t="s">
        <v>54</v>
      </c>
      <c r="AF235" s="30" t="n">
        <v>0</v>
      </c>
      <c r="AG235" s="30" t="n">
        <v>0</v>
      </c>
      <c r="AH235" s="30" t="n">
        <v>1</v>
      </c>
      <c r="AI235" s="30" t="n">
        <v>0</v>
      </c>
      <c r="AJ235" s="30" t="n">
        <v>1</v>
      </c>
      <c r="AK235" s="30" t="n">
        <v>0</v>
      </c>
      <c r="AL235" s="26"/>
    </row>
    <row collapsed="false" customFormat="false" customHeight="false" hidden="false" ht="14.5" outlineLevel="0" r="236">
      <c r="A236" s="30" t="n">
        <v>227</v>
      </c>
      <c r="B236" s="30" t="s">
        <v>45</v>
      </c>
      <c r="C236" s="30" t="s">
        <v>46</v>
      </c>
      <c r="D236" s="30" t="s">
        <v>354</v>
      </c>
      <c r="E236" s="30" t="n">
        <v>5</v>
      </c>
      <c r="F236" s="30"/>
      <c r="G236" s="30"/>
      <c r="H236" s="30" t="s">
        <v>360</v>
      </c>
      <c r="I236" s="30" t="s">
        <v>56</v>
      </c>
      <c r="J236" s="30"/>
      <c r="K236" s="30" t="s">
        <v>81</v>
      </c>
      <c r="L236" s="30" t="s">
        <v>51</v>
      </c>
      <c r="M236" s="30" t="n">
        <v>1939</v>
      </c>
      <c r="N236" s="30" t="s">
        <v>58</v>
      </c>
      <c r="O236" s="30" t="n">
        <v>4</v>
      </c>
      <c r="P236" s="30" t="n">
        <v>0</v>
      </c>
      <c r="Q236" s="30" t="n">
        <v>4</v>
      </c>
      <c r="R236" s="30" t="n">
        <v>32</v>
      </c>
      <c r="S236" s="30" t="n">
        <v>2872.2</v>
      </c>
      <c r="T236" s="30" t="n">
        <v>2872.2</v>
      </c>
      <c r="U236" s="30" t="n">
        <v>2863.5</v>
      </c>
      <c r="V236" s="30"/>
      <c r="W236" s="30" t="s">
        <v>53</v>
      </c>
      <c r="X236" s="30" t="s">
        <v>53</v>
      </c>
      <c r="Y236" s="30" t="s">
        <v>54</v>
      </c>
      <c r="Z236" s="30" t="s">
        <v>53</v>
      </c>
      <c r="AA236" s="30" t="s">
        <v>53</v>
      </c>
      <c r="AB236" s="30" t="s">
        <v>53</v>
      </c>
      <c r="AC236" s="30" t="s">
        <v>53</v>
      </c>
      <c r="AD236" s="30" t="s">
        <v>53</v>
      </c>
      <c r="AE236" s="30" t="s">
        <v>54</v>
      </c>
      <c r="AF236" s="30" t="n">
        <v>0</v>
      </c>
      <c r="AG236" s="30" t="n">
        <v>1</v>
      </c>
      <c r="AH236" s="30" t="n">
        <v>1</v>
      </c>
      <c r="AI236" s="30" t="n">
        <v>0</v>
      </c>
      <c r="AJ236" s="30" t="n">
        <v>1</v>
      </c>
      <c r="AK236" s="30" t="n">
        <v>0</v>
      </c>
      <c r="AL236" s="26"/>
    </row>
    <row collapsed="false" customFormat="false" customHeight="false" hidden="false" ht="14.5" outlineLevel="0" r="237">
      <c r="A237" s="30" t="n">
        <v>228</v>
      </c>
      <c r="B237" s="30" t="s">
        <v>45</v>
      </c>
      <c r="C237" s="30" t="s">
        <v>46</v>
      </c>
      <c r="D237" s="30" t="s">
        <v>354</v>
      </c>
      <c r="E237" s="30" t="n">
        <v>6</v>
      </c>
      <c r="F237" s="30"/>
      <c r="G237" s="30"/>
      <c r="H237" s="30" t="s">
        <v>361</v>
      </c>
      <c r="I237" s="30" t="s">
        <v>56</v>
      </c>
      <c r="J237" s="30"/>
      <c r="K237" s="30" t="s">
        <v>101</v>
      </c>
      <c r="L237" s="30" t="s">
        <v>57</v>
      </c>
      <c r="M237" s="30" t="n">
        <v>1978</v>
      </c>
      <c r="N237" s="30" t="s">
        <v>58</v>
      </c>
      <c r="O237" s="30" t="n">
        <v>5</v>
      </c>
      <c r="P237" s="30" t="n">
        <v>0</v>
      </c>
      <c r="Q237" s="30" t="n">
        <v>2</v>
      </c>
      <c r="R237" s="30" t="n">
        <v>42</v>
      </c>
      <c r="S237" s="30" t="n">
        <v>4822.9</v>
      </c>
      <c r="T237" s="30" t="n">
        <v>4822.9</v>
      </c>
      <c r="U237" s="30" t="n">
        <v>4333.2</v>
      </c>
      <c r="V237" s="30" t="n">
        <v>489.7</v>
      </c>
      <c r="W237" s="30" t="s">
        <v>53</v>
      </c>
      <c r="X237" s="30" t="s">
        <v>53</v>
      </c>
      <c r="Y237" s="30" t="s">
        <v>54</v>
      </c>
      <c r="Z237" s="30" t="s">
        <v>53</v>
      </c>
      <c r="AA237" s="30" t="s">
        <v>53</v>
      </c>
      <c r="AB237" s="30" t="s">
        <v>53</v>
      </c>
      <c r="AC237" s="30" t="s">
        <v>53</v>
      </c>
      <c r="AD237" s="30" t="s">
        <v>53</v>
      </c>
      <c r="AE237" s="30" t="s">
        <v>54</v>
      </c>
      <c r="AF237" s="30" t="n">
        <v>0</v>
      </c>
      <c r="AG237" s="30" t="n">
        <v>0</v>
      </c>
      <c r="AH237" s="30" t="n">
        <v>1</v>
      </c>
      <c r="AI237" s="30" t="n">
        <v>0</v>
      </c>
      <c r="AJ237" s="30" t="n">
        <v>2</v>
      </c>
      <c r="AK237" s="30" t="n">
        <v>0</v>
      </c>
      <c r="AL237" s="26"/>
    </row>
    <row collapsed="false" customFormat="false" customHeight="false" hidden="false" ht="14.5" outlineLevel="0" r="238">
      <c r="A238" s="30" t="n">
        <v>229</v>
      </c>
      <c r="B238" s="30" t="s">
        <v>45</v>
      </c>
      <c r="C238" s="30" t="s">
        <v>46</v>
      </c>
      <c r="D238" s="30" t="s">
        <v>362</v>
      </c>
      <c r="E238" s="30" t="n">
        <v>7</v>
      </c>
      <c r="F238" s="30"/>
      <c r="G238" s="30"/>
      <c r="H238" s="30" t="s">
        <v>363</v>
      </c>
      <c r="I238" s="30" t="s">
        <v>56</v>
      </c>
      <c r="J238" s="30"/>
      <c r="K238" s="30" t="s">
        <v>64</v>
      </c>
      <c r="L238" s="30" t="s">
        <v>51</v>
      </c>
      <c r="M238" s="30" t="n">
        <v>1957</v>
      </c>
      <c r="N238" s="30" t="s">
        <v>58</v>
      </c>
      <c r="O238" s="30" t="n">
        <v>4</v>
      </c>
      <c r="P238" s="30" t="n">
        <v>0</v>
      </c>
      <c r="Q238" s="30" t="n">
        <v>4</v>
      </c>
      <c r="R238" s="30" t="n">
        <v>37</v>
      </c>
      <c r="S238" s="30" t="n">
        <v>2951</v>
      </c>
      <c r="T238" s="30" t="n">
        <v>2951</v>
      </c>
      <c r="U238" s="30" t="n">
        <v>2718.6</v>
      </c>
      <c r="V238" s="30" t="n">
        <v>232.4</v>
      </c>
      <c r="W238" s="30" t="s">
        <v>53</v>
      </c>
      <c r="X238" s="30" t="s">
        <v>53</v>
      </c>
      <c r="Y238" s="30" t="s">
        <v>54</v>
      </c>
      <c r="Z238" s="30" t="s">
        <v>53</v>
      </c>
      <c r="AA238" s="30" t="s">
        <v>53</v>
      </c>
      <c r="AB238" s="30" t="s">
        <v>53</v>
      </c>
      <c r="AC238" s="30" t="s">
        <v>53</v>
      </c>
      <c r="AD238" s="30" t="s">
        <v>53</v>
      </c>
      <c r="AE238" s="30" t="s">
        <v>54</v>
      </c>
      <c r="AF238" s="30" t="n">
        <v>0</v>
      </c>
      <c r="AG238" s="30" t="n">
        <v>0</v>
      </c>
      <c r="AH238" s="30" t="n">
        <v>1</v>
      </c>
      <c r="AI238" s="30" t="n">
        <v>0</v>
      </c>
      <c r="AJ238" s="30" t="n">
        <v>1</v>
      </c>
      <c r="AK238" s="30" t="n">
        <v>0</v>
      </c>
      <c r="AL238" s="26"/>
    </row>
    <row collapsed="false" customFormat="false" customHeight="false" hidden="false" ht="14.5" outlineLevel="0" r="239">
      <c r="A239" s="30" t="n">
        <v>230</v>
      </c>
      <c r="B239" s="30" t="s">
        <v>45</v>
      </c>
      <c r="C239" s="30" t="s">
        <v>46</v>
      </c>
      <c r="D239" s="30" t="s">
        <v>354</v>
      </c>
      <c r="E239" s="30" t="n">
        <v>7</v>
      </c>
      <c r="F239" s="30" t="s">
        <v>67</v>
      </c>
      <c r="G239" s="30"/>
      <c r="H239" s="30" t="s">
        <v>364</v>
      </c>
      <c r="I239" s="30" t="s">
        <v>56</v>
      </c>
      <c r="J239" s="30"/>
      <c r="K239" s="30" t="s">
        <v>101</v>
      </c>
      <c r="L239" s="30" t="s">
        <v>51</v>
      </c>
      <c r="M239" s="30" t="n">
        <v>1958</v>
      </c>
      <c r="N239" s="30" t="s">
        <v>58</v>
      </c>
      <c r="O239" s="30" t="n">
        <v>4</v>
      </c>
      <c r="P239" s="30" t="n">
        <v>0</v>
      </c>
      <c r="Q239" s="30" t="n">
        <v>3</v>
      </c>
      <c r="R239" s="30" t="n">
        <v>36</v>
      </c>
      <c r="S239" s="30" t="n">
        <v>2157.1</v>
      </c>
      <c r="T239" s="30" t="n">
        <v>2157.1</v>
      </c>
      <c r="U239" s="30" t="n">
        <v>2157.1</v>
      </c>
      <c r="V239" s="30"/>
      <c r="W239" s="30" t="s">
        <v>53</v>
      </c>
      <c r="X239" s="30" t="s">
        <v>53</v>
      </c>
      <c r="Y239" s="30" t="s">
        <v>54</v>
      </c>
      <c r="Z239" s="30" t="s">
        <v>53</v>
      </c>
      <c r="AA239" s="30" t="s">
        <v>53</v>
      </c>
      <c r="AB239" s="30" t="s">
        <v>53</v>
      </c>
      <c r="AC239" s="30" t="s">
        <v>53</v>
      </c>
      <c r="AD239" s="30" t="s">
        <v>53</v>
      </c>
      <c r="AE239" s="30" t="s">
        <v>54</v>
      </c>
      <c r="AF239" s="30" t="n">
        <v>0</v>
      </c>
      <c r="AG239" s="30" t="n">
        <v>0</v>
      </c>
      <c r="AH239" s="30" t="n">
        <v>1</v>
      </c>
      <c r="AI239" s="30" t="n">
        <v>0</v>
      </c>
      <c r="AJ239" s="30" t="n">
        <v>1</v>
      </c>
      <c r="AK239" s="30" t="n">
        <v>0</v>
      </c>
      <c r="AL239" s="26"/>
    </row>
    <row collapsed="false" customFormat="false" customHeight="false" hidden="false" ht="14.5" outlineLevel="0" r="240">
      <c r="A240" s="30" t="n">
        <v>231</v>
      </c>
      <c r="B240" s="30" t="s">
        <v>45</v>
      </c>
      <c r="C240" s="30" t="s">
        <v>46</v>
      </c>
      <c r="D240" s="30" t="s">
        <v>354</v>
      </c>
      <c r="E240" s="30" t="s">
        <v>365</v>
      </c>
      <c r="F240" s="30"/>
      <c r="G240" s="30"/>
      <c r="H240" s="30" t="s">
        <v>366</v>
      </c>
      <c r="I240" s="30" t="s">
        <v>56</v>
      </c>
      <c r="J240" s="30"/>
      <c r="K240" s="30" t="s">
        <v>81</v>
      </c>
      <c r="L240" s="30" t="s">
        <v>51</v>
      </c>
      <c r="M240" s="30" t="n">
        <v>1956</v>
      </c>
      <c r="N240" s="30" t="s">
        <v>58</v>
      </c>
      <c r="O240" s="30" t="n">
        <v>4</v>
      </c>
      <c r="P240" s="30" t="n">
        <v>0</v>
      </c>
      <c r="Q240" s="30" t="n">
        <v>4</v>
      </c>
      <c r="R240" s="30" t="n">
        <v>45</v>
      </c>
      <c r="S240" s="30" t="n">
        <v>3493.7</v>
      </c>
      <c r="T240" s="30" t="n">
        <v>3493.7</v>
      </c>
      <c r="U240" s="30" t="n">
        <v>3269.3</v>
      </c>
      <c r="V240" s="30" t="n">
        <v>224.4</v>
      </c>
      <c r="W240" s="30" t="s">
        <v>53</v>
      </c>
      <c r="X240" s="30" t="s">
        <v>53</v>
      </c>
      <c r="Y240" s="30" t="s">
        <v>54</v>
      </c>
      <c r="Z240" s="30" t="s">
        <v>53</v>
      </c>
      <c r="AA240" s="30" t="s">
        <v>53</v>
      </c>
      <c r="AB240" s="30" t="s">
        <v>53</v>
      </c>
      <c r="AC240" s="30" t="s">
        <v>53</v>
      </c>
      <c r="AD240" s="30" t="s">
        <v>53</v>
      </c>
      <c r="AE240" s="30" t="s">
        <v>54</v>
      </c>
      <c r="AF240" s="30" t="n">
        <v>0</v>
      </c>
      <c r="AG240" s="30" t="n">
        <v>0</v>
      </c>
      <c r="AH240" s="30" t="n">
        <v>1</v>
      </c>
      <c r="AI240" s="30" t="n">
        <v>0</v>
      </c>
      <c r="AJ240" s="30" t="n">
        <v>1</v>
      </c>
      <c r="AK240" s="30" t="n">
        <v>0</v>
      </c>
      <c r="AL240" s="26"/>
    </row>
    <row collapsed="false" customFormat="false" customHeight="false" hidden="false" ht="14.5" outlineLevel="0" r="241">
      <c r="A241" s="30" t="n">
        <v>232</v>
      </c>
      <c r="B241" s="30" t="s">
        <v>45</v>
      </c>
      <c r="C241" s="30" t="s">
        <v>46</v>
      </c>
      <c r="D241" s="30" t="s">
        <v>354</v>
      </c>
      <c r="E241" s="30" t="s">
        <v>367</v>
      </c>
      <c r="F241" s="30"/>
      <c r="G241" s="30"/>
      <c r="H241" s="30" t="s">
        <v>368</v>
      </c>
      <c r="I241" s="30" t="s">
        <v>56</v>
      </c>
      <c r="J241" s="30"/>
      <c r="K241" s="30" t="s">
        <v>64</v>
      </c>
      <c r="L241" s="30" t="s">
        <v>103</v>
      </c>
      <c r="M241" s="30" t="n">
        <v>1969</v>
      </c>
      <c r="N241" s="30" t="s">
        <v>58</v>
      </c>
      <c r="O241" s="30" t="n">
        <v>4</v>
      </c>
      <c r="P241" s="30" t="n">
        <v>0</v>
      </c>
      <c r="Q241" s="30" t="n">
        <v>5</v>
      </c>
      <c r="R241" s="30" t="n">
        <v>70</v>
      </c>
      <c r="S241" s="30" t="n">
        <v>3426.2</v>
      </c>
      <c r="T241" s="30" t="n">
        <v>3426.2</v>
      </c>
      <c r="U241" s="30" t="n">
        <v>3426.2</v>
      </c>
      <c r="V241" s="30"/>
      <c r="W241" s="30" t="s">
        <v>53</v>
      </c>
      <c r="X241" s="30" t="s">
        <v>53</v>
      </c>
      <c r="Y241" s="30" t="s">
        <v>53</v>
      </c>
      <c r="Z241" s="30" t="s">
        <v>53</v>
      </c>
      <c r="AA241" s="30" t="s">
        <v>53</v>
      </c>
      <c r="AB241" s="30" t="s">
        <v>53</v>
      </c>
      <c r="AC241" s="30" t="s">
        <v>54</v>
      </c>
      <c r="AD241" s="30" t="s">
        <v>53</v>
      </c>
      <c r="AE241" s="30" t="s">
        <v>54</v>
      </c>
      <c r="AF241" s="30" t="n">
        <v>0</v>
      </c>
      <c r="AG241" s="30" t="n">
        <v>0</v>
      </c>
      <c r="AH241" s="30" t="n">
        <v>1</v>
      </c>
      <c r="AI241" s="30" t="n">
        <v>0</v>
      </c>
      <c r="AJ241" s="30" t="n">
        <v>1</v>
      </c>
      <c r="AK241" s="30" t="n">
        <v>0</v>
      </c>
      <c r="AL241" s="26"/>
    </row>
    <row collapsed="false" customFormat="false" customHeight="false" hidden="false" ht="14.5" outlineLevel="0" r="242">
      <c r="A242" s="30" t="n">
        <v>233</v>
      </c>
      <c r="B242" s="30" t="s">
        <v>45</v>
      </c>
      <c r="C242" s="30" t="s">
        <v>46</v>
      </c>
      <c r="D242" s="30" t="s">
        <v>354</v>
      </c>
      <c r="E242" s="30" t="n">
        <v>30</v>
      </c>
      <c r="F242" s="30"/>
      <c r="G242" s="30"/>
      <c r="H242" s="30" t="s">
        <v>369</v>
      </c>
      <c r="I242" s="30" t="s">
        <v>56</v>
      </c>
      <c r="J242" s="30"/>
      <c r="K242" s="30" t="s">
        <v>64</v>
      </c>
      <c r="L242" s="30" t="s">
        <v>57</v>
      </c>
      <c r="M242" s="30" t="n">
        <v>1968</v>
      </c>
      <c r="N242" s="30" t="s">
        <v>108</v>
      </c>
      <c r="O242" s="30" t="n">
        <v>5</v>
      </c>
      <c r="P242" s="30" t="n">
        <v>0</v>
      </c>
      <c r="Q242" s="30" t="n">
        <v>7</v>
      </c>
      <c r="R242" s="30" t="n">
        <v>70</v>
      </c>
      <c r="S242" s="30" t="n">
        <v>3515.2</v>
      </c>
      <c r="T242" s="30" t="n">
        <v>3515.2</v>
      </c>
      <c r="U242" s="30" t="n">
        <v>3515.2</v>
      </c>
      <c r="V242" s="30"/>
      <c r="W242" s="30" t="s">
        <v>53</v>
      </c>
      <c r="X242" s="30" t="s">
        <v>53</v>
      </c>
      <c r="Y242" s="30" t="s">
        <v>53</v>
      </c>
      <c r="Z242" s="30" t="s">
        <v>53</v>
      </c>
      <c r="AA242" s="30" t="s">
        <v>53</v>
      </c>
      <c r="AB242" s="30" t="s">
        <v>53</v>
      </c>
      <c r="AC242" s="30" t="s">
        <v>54</v>
      </c>
      <c r="AD242" s="30" t="s">
        <v>53</v>
      </c>
      <c r="AE242" s="30" t="s">
        <v>54</v>
      </c>
      <c r="AF242" s="30" t="n">
        <v>0</v>
      </c>
      <c r="AG242" s="30" t="n">
        <v>0</v>
      </c>
      <c r="AH242" s="30" t="n">
        <v>1</v>
      </c>
      <c r="AI242" s="30" t="n">
        <v>0</v>
      </c>
      <c r="AJ242" s="30" t="n">
        <v>1</v>
      </c>
      <c r="AK242" s="30" t="n">
        <v>0</v>
      </c>
      <c r="AL242" s="26"/>
    </row>
    <row collapsed="false" customFormat="false" customHeight="false" hidden="false" ht="14.5" outlineLevel="0" r="243">
      <c r="A243" s="30" t="n">
        <v>234</v>
      </c>
      <c r="B243" s="30" t="s">
        <v>45</v>
      </c>
      <c r="C243" s="30" t="s">
        <v>46</v>
      </c>
      <c r="D243" s="30" t="s">
        <v>354</v>
      </c>
      <c r="E243" s="30" t="n">
        <v>30</v>
      </c>
      <c r="F243" s="30" t="s">
        <v>67</v>
      </c>
      <c r="G243" s="30"/>
      <c r="H243" s="30" t="s">
        <v>370</v>
      </c>
      <c r="I243" s="30" t="s">
        <v>56</v>
      </c>
      <c r="J243" s="30"/>
      <c r="K243" s="30" t="s">
        <v>64</v>
      </c>
      <c r="L243" s="30" t="s">
        <v>57</v>
      </c>
      <c r="M243" s="30" t="n">
        <v>1968</v>
      </c>
      <c r="N243" s="30" t="s">
        <v>108</v>
      </c>
      <c r="O243" s="30" t="n">
        <v>5</v>
      </c>
      <c r="P243" s="30" t="n">
        <v>0</v>
      </c>
      <c r="Q243" s="30" t="n">
        <v>4</v>
      </c>
      <c r="R243" s="30" t="n">
        <v>80</v>
      </c>
      <c r="S243" s="30" t="n">
        <v>3200.6</v>
      </c>
      <c r="T243" s="30" t="n">
        <v>3200.6</v>
      </c>
      <c r="U243" s="30" t="n">
        <v>3200.6</v>
      </c>
      <c r="V243" s="30"/>
      <c r="W243" s="30" t="s">
        <v>53</v>
      </c>
      <c r="X243" s="30" t="s">
        <v>53</v>
      </c>
      <c r="Y243" s="30" t="s">
        <v>53</v>
      </c>
      <c r="Z243" s="30" t="s">
        <v>53</v>
      </c>
      <c r="AA243" s="30" t="s">
        <v>53</v>
      </c>
      <c r="AB243" s="30" t="s">
        <v>53</v>
      </c>
      <c r="AC243" s="30" t="s">
        <v>54</v>
      </c>
      <c r="AD243" s="30" t="s">
        <v>53</v>
      </c>
      <c r="AE243" s="30" t="s">
        <v>54</v>
      </c>
      <c r="AF243" s="30" t="n">
        <v>0</v>
      </c>
      <c r="AG243" s="30" t="n">
        <v>0</v>
      </c>
      <c r="AH243" s="30" t="n">
        <v>1</v>
      </c>
      <c r="AI243" s="30" t="n">
        <v>0</v>
      </c>
      <c r="AJ243" s="30" t="n">
        <v>1</v>
      </c>
      <c r="AK243" s="30" t="n">
        <v>0</v>
      </c>
      <c r="AL243" s="26"/>
    </row>
    <row collapsed="false" customFormat="false" customHeight="false" hidden="false" ht="14.5" outlineLevel="0" r="244">
      <c r="A244" s="30" t="n">
        <v>235</v>
      </c>
      <c r="B244" s="30" t="s">
        <v>45</v>
      </c>
      <c r="C244" s="30" t="s">
        <v>59</v>
      </c>
      <c r="D244" s="30" t="s">
        <v>371</v>
      </c>
      <c r="E244" s="30" t="n">
        <v>65</v>
      </c>
      <c r="F244" s="30"/>
      <c r="G244" s="30"/>
      <c r="H244" s="30" t="s">
        <v>372</v>
      </c>
      <c r="I244" s="30" t="s">
        <v>56</v>
      </c>
      <c r="J244" s="30"/>
      <c r="K244" s="30" t="s">
        <v>64</v>
      </c>
      <c r="L244" s="30" t="s">
        <v>57</v>
      </c>
      <c r="M244" s="30" t="n">
        <v>1960</v>
      </c>
      <c r="N244" s="30" t="s">
        <v>58</v>
      </c>
      <c r="O244" s="30" t="n">
        <v>2</v>
      </c>
      <c r="P244" s="30" t="n">
        <v>0</v>
      </c>
      <c r="Q244" s="30" t="n">
        <v>2</v>
      </c>
      <c r="R244" s="30" t="n">
        <v>16</v>
      </c>
      <c r="S244" s="30" t="n">
        <v>637</v>
      </c>
      <c r="T244" s="30" t="n">
        <v>637</v>
      </c>
      <c r="U244" s="30" t="n">
        <v>637</v>
      </c>
      <c r="V244" s="30"/>
      <c r="W244" s="30" t="s">
        <v>53</v>
      </c>
      <c r="X244" s="30" t="s">
        <v>53</v>
      </c>
      <c r="Y244" s="30" t="s">
        <v>53</v>
      </c>
      <c r="Z244" s="30" t="s">
        <v>53</v>
      </c>
      <c r="AA244" s="30" t="s">
        <v>53</v>
      </c>
      <c r="AB244" s="30" t="s">
        <v>53</v>
      </c>
      <c r="AC244" s="30" t="s">
        <v>53</v>
      </c>
      <c r="AD244" s="30" t="s">
        <v>53</v>
      </c>
      <c r="AE244" s="30" t="s">
        <v>54</v>
      </c>
      <c r="AF244" s="30" t="n">
        <v>0</v>
      </c>
      <c r="AG244" s="30" t="n">
        <v>0</v>
      </c>
      <c r="AH244" s="30" t="n">
        <v>0</v>
      </c>
      <c r="AI244" s="30" t="n">
        <v>0</v>
      </c>
      <c r="AJ244" s="30" t="n">
        <v>0</v>
      </c>
      <c r="AK244" s="30" t="n">
        <v>0</v>
      </c>
      <c r="AL244" s="26"/>
    </row>
    <row collapsed="false" customFormat="false" customHeight="false" hidden="false" ht="14.5" outlineLevel="0" r="245">
      <c r="A245" s="30" t="n">
        <v>236</v>
      </c>
      <c r="B245" s="30" t="s">
        <v>45</v>
      </c>
      <c r="C245" s="30" t="s">
        <v>59</v>
      </c>
      <c r="D245" s="30" t="s">
        <v>371</v>
      </c>
      <c r="E245" s="30" t="n">
        <v>67</v>
      </c>
      <c r="F245" s="30"/>
      <c r="G245" s="30"/>
      <c r="H245" s="30" t="s">
        <v>373</v>
      </c>
      <c r="I245" s="30" t="s">
        <v>56</v>
      </c>
      <c r="J245" s="30"/>
      <c r="K245" s="30" t="s">
        <v>64</v>
      </c>
      <c r="L245" s="30" t="s">
        <v>57</v>
      </c>
      <c r="M245" s="30" t="n">
        <v>1959</v>
      </c>
      <c r="N245" s="30" t="s">
        <v>58</v>
      </c>
      <c r="O245" s="30" t="n">
        <v>2</v>
      </c>
      <c r="P245" s="30" t="n">
        <v>0</v>
      </c>
      <c r="Q245" s="30" t="n">
        <v>2</v>
      </c>
      <c r="R245" s="30" t="n">
        <v>12</v>
      </c>
      <c r="S245" s="30" t="n">
        <v>675</v>
      </c>
      <c r="T245" s="30" t="n">
        <v>675</v>
      </c>
      <c r="U245" s="30" t="n">
        <v>675</v>
      </c>
      <c r="V245" s="30"/>
      <c r="W245" s="30" t="s">
        <v>53</v>
      </c>
      <c r="X245" s="30" t="s">
        <v>53</v>
      </c>
      <c r="Y245" s="30" t="s">
        <v>53</v>
      </c>
      <c r="Z245" s="30" t="s">
        <v>53</v>
      </c>
      <c r="AA245" s="30" t="s">
        <v>53</v>
      </c>
      <c r="AB245" s="30" t="s">
        <v>53</v>
      </c>
      <c r="AC245" s="30" t="s">
        <v>53</v>
      </c>
      <c r="AD245" s="30" t="s">
        <v>53</v>
      </c>
      <c r="AE245" s="30" t="s">
        <v>54</v>
      </c>
      <c r="AF245" s="30" t="n">
        <v>0</v>
      </c>
      <c r="AG245" s="30" t="n">
        <v>0</v>
      </c>
      <c r="AH245" s="30" t="n">
        <v>0</v>
      </c>
      <c r="AI245" s="30" t="n">
        <v>0</v>
      </c>
      <c r="AJ245" s="30" t="n">
        <v>0</v>
      </c>
      <c r="AK245" s="30" t="n">
        <v>0</v>
      </c>
      <c r="AL245" s="26"/>
    </row>
    <row collapsed="false" customFormat="false" customHeight="false" hidden="false" ht="14.5" outlineLevel="0" r="246">
      <c r="A246" s="30" t="n">
        <v>237</v>
      </c>
      <c r="B246" s="30" t="s">
        <v>45</v>
      </c>
      <c r="C246" s="30" t="s">
        <v>59</v>
      </c>
      <c r="D246" s="30" t="s">
        <v>371</v>
      </c>
      <c r="E246" s="30" t="n">
        <v>69</v>
      </c>
      <c r="F246" s="30"/>
      <c r="G246" s="30"/>
      <c r="H246" s="30" t="s">
        <v>374</v>
      </c>
      <c r="I246" s="30" t="s">
        <v>56</v>
      </c>
      <c r="J246" s="30"/>
      <c r="K246" s="30" t="s">
        <v>64</v>
      </c>
      <c r="L246" s="30" t="s">
        <v>57</v>
      </c>
      <c r="M246" s="30" t="n">
        <v>1958</v>
      </c>
      <c r="N246" s="30" t="s">
        <v>58</v>
      </c>
      <c r="O246" s="30" t="n">
        <v>2</v>
      </c>
      <c r="P246" s="30" t="n">
        <v>0</v>
      </c>
      <c r="Q246" s="30" t="n">
        <v>2</v>
      </c>
      <c r="R246" s="30" t="n">
        <v>12</v>
      </c>
      <c r="S246" s="30" t="n">
        <v>678</v>
      </c>
      <c r="T246" s="30" t="n">
        <v>678</v>
      </c>
      <c r="U246" s="30" t="n">
        <v>678</v>
      </c>
      <c r="V246" s="30"/>
      <c r="W246" s="30" t="s">
        <v>53</v>
      </c>
      <c r="X246" s="30" t="s">
        <v>53</v>
      </c>
      <c r="Y246" s="30" t="s">
        <v>53</v>
      </c>
      <c r="Z246" s="30" t="s">
        <v>53</v>
      </c>
      <c r="AA246" s="30" t="s">
        <v>53</v>
      </c>
      <c r="AB246" s="30" t="s">
        <v>53</v>
      </c>
      <c r="AC246" s="30" t="s">
        <v>53</v>
      </c>
      <c r="AD246" s="30" t="s">
        <v>53</v>
      </c>
      <c r="AE246" s="30" t="s">
        <v>54</v>
      </c>
      <c r="AF246" s="30" t="n">
        <v>0</v>
      </c>
      <c r="AG246" s="30" t="n">
        <v>0</v>
      </c>
      <c r="AH246" s="30" t="n">
        <v>0</v>
      </c>
      <c r="AI246" s="30" t="n">
        <v>0</v>
      </c>
      <c r="AJ246" s="30" t="n">
        <v>0</v>
      </c>
      <c r="AK246" s="30" t="n">
        <v>0</v>
      </c>
      <c r="AL246" s="26"/>
    </row>
    <row collapsed="false" customFormat="false" customHeight="false" hidden="false" ht="14.5" outlineLevel="0" r="247">
      <c r="A247" s="30" t="n">
        <v>238</v>
      </c>
      <c r="B247" s="30" t="s">
        <v>45</v>
      </c>
      <c r="C247" s="30" t="s">
        <v>59</v>
      </c>
      <c r="D247" s="30" t="s">
        <v>371</v>
      </c>
      <c r="E247" s="30" t="n">
        <v>69</v>
      </c>
      <c r="F247" s="30" t="s">
        <v>67</v>
      </c>
      <c r="G247" s="30"/>
      <c r="H247" s="30" t="s">
        <v>375</v>
      </c>
      <c r="I247" s="30" t="s">
        <v>56</v>
      </c>
      <c r="J247" s="30"/>
      <c r="K247" s="30" t="s">
        <v>64</v>
      </c>
      <c r="L247" s="30" t="s">
        <v>57</v>
      </c>
      <c r="M247" s="30" t="n">
        <v>1960</v>
      </c>
      <c r="N247" s="30" t="s">
        <v>58</v>
      </c>
      <c r="O247" s="30" t="n">
        <v>2</v>
      </c>
      <c r="P247" s="30" t="n">
        <v>0</v>
      </c>
      <c r="Q247" s="30" t="n">
        <v>2</v>
      </c>
      <c r="R247" s="30" t="n">
        <v>16</v>
      </c>
      <c r="S247" s="30" t="n">
        <v>678</v>
      </c>
      <c r="T247" s="30" t="n">
        <v>678</v>
      </c>
      <c r="U247" s="30" t="n">
        <v>678</v>
      </c>
      <c r="V247" s="30"/>
      <c r="W247" s="30" t="s">
        <v>53</v>
      </c>
      <c r="X247" s="30" t="s">
        <v>53</v>
      </c>
      <c r="Y247" s="30" t="s">
        <v>53</v>
      </c>
      <c r="Z247" s="30" t="s">
        <v>53</v>
      </c>
      <c r="AA247" s="30" t="s">
        <v>53</v>
      </c>
      <c r="AB247" s="30" t="s">
        <v>53</v>
      </c>
      <c r="AC247" s="30" t="s">
        <v>53</v>
      </c>
      <c r="AD247" s="30" t="s">
        <v>53</v>
      </c>
      <c r="AE247" s="30" t="s">
        <v>54</v>
      </c>
      <c r="AF247" s="30" t="n">
        <v>0</v>
      </c>
      <c r="AG247" s="30" t="n">
        <v>0</v>
      </c>
      <c r="AH247" s="30" t="n">
        <v>0</v>
      </c>
      <c r="AI247" s="30" t="n">
        <v>0</v>
      </c>
      <c r="AJ247" s="30" t="n">
        <v>0</v>
      </c>
      <c r="AK247" s="30" t="n">
        <v>0</v>
      </c>
      <c r="AL247" s="26"/>
    </row>
    <row collapsed="false" customFormat="false" customHeight="false" hidden="false" ht="14.5" outlineLevel="0" r="248">
      <c r="A248" s="30" t="n">
        <v>239</v>
      </c>
      <c r="B248" s="30" t="s">
        <v>45</v>
      </c>
      <c r="C248" s="30" t="s">
        <v>59</v>
      </c>
      <c r="D248" s="30" t="s">
        <v>371</v>
      </c>
      <c r="E248" s="30" t="n">
        <v>71</v>
      </c>
      <c r="F248" s="30"/>
      <c r="G248" s="30"/>
      <c r="H248" s="30" t="s">
        <v>376</v>
      </c>
      <c r="I248" s="30" t="s">
        <v>56</v>
      </c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 t="n">
        <v>441</v>
      </c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26"/>
    </row>
    <row collapsed="false" customFormat="false" customHeight="false" hidden="false" ht="14.5" outlineLevel="0" r="249">
      <c r="A249" s="30" t="n">
        <v>240</v>
      </c>
      <c r="B249" s="30" t="s">
        <v>45</v>
      </c>
      <c r="C249" s="30" t="s">
        <v>46</v>
      </c>
      <c r="D249" s="30" t="s">
        <v>377</v>
      </c>
      <c r="E249" s="30" t="n">
        <v>4</v>
      </c>
      <c r="F249" s="30"/>
      <c r="G249" s="30"/>
      <c r="H249" s="30" t="s">
        <v>378</v>
      </c>
      <c r="I249" s="30" t="s">
        <v>56</v>
      </c>
      <c r="J249" s="30"/>
      <c r="K249" s="30" t="s">
        <v>64</v>
      </c>
      <c r="L249" s="30" t="s">
        <v>51</v>
      </c>
      <c r="M249" s="30" t="n">
        <v>1969</v>
      </c>
      <c r="N249" s="30" t="s">
        <v>58</v>
      </c>
      <c r="O249" s="30" t="n">
        <v>5</v>
      </c>
      <c r="P249" s="30" t="n">
        <v>0</v>
      </c>
      <c r="Q249" s="30" t="n">
        <v>4</v>
      </c>
      <c r="R249" s="30" t="n">
        <v>56</v>
      </c>
      <c r="S249" s="30" t="n">
        <v>3661.6</v>
      </c>
      <c r="T249" s="30" t="n">
        <v>3661.6</v>
      </c>
      <c r="U249" s="30" t="n">
        <v>2792.7</v>
      </c>
      <c r="V249" s="30" t="n">
        <v>868.9</v>
      </c>
      <c r="W249" s="30" t="s">
        <v>53</v>
      </c>
      <c r="X249" s="30" t="s">
        <v>53</v>
      </c>
      <c r="Y249" s="30" t="s">
        <v>54</v>
      </c>
      <c r="Z249" s="30" t="s">
        <v>53</v>
      </c>
      <c r="AA249" s="30" t="s">
        <v>53</v>
      </c>
      <c r="AB249" s="30" t="s">
        <v>53</v>
      </c>
      <c r="AC249" s="30" t="s">
        <v>53</v>
      </c>
      <c r="AD249" s="30" t="s">
        <v>53</v>
      </c>
      <c r="AE249" s="30" t="s">
        <v>54</v>
      </c>
      <c r="AF249" s="30" t="n">
        <v>0</v>
      </c>
      <c r="AG249" s="30" t="n">
        <v>0</v>
      </c>
      <c r="AH249" s="30" t="n">
        <v>1</v>
      </c>
      <c r="AI249" s="30" t="n">
        <v>0</v>
      </c>
      <c r="AJ249" s="30" t="n">
        <v>1</v>
      </c>
      <c r="AK249" s="30" t="n">
        <v>0</v>
      </c>
      <c r="AL249" s="26"/>
    </row>
    <row collapsed="false" customFormat="false" customHeight="false" hidden="false" ht="14.5" outlineLevel="0" r="250">
      <c r="A250" s="30" t="n">
        <v>241</v>
      </c>
      <c r="B250" s="30" t="s">
        <v>45</v>
      </c>
      <c r="C250" s="30" t="s">
        <v>46</v>
      </c>
      <c r="D250" s="30" t="s">
        <v>377</v>
      </c>
      <c r="E250" s="30" t="n">
        <v>4</v>
      </c>
      <c r="F250" s="30" t="s">
        <v>67</v>
      </c>
      <c r="G250" s="30"/>
      <c r="H250" s="30" t="s">
        <v>379</v>
      </c>
      <c r="I250" s="30" t="s">
        <v>56</v>
      </c>
      <c r="J250" s="30"/>
      <c r="K250" s="30" t="s">
        <v>64</v>
      </c>
      <c r="L250" s="30" t="s">
        <v>51</v>
      </c>
      <c r="M250" s="30" t="n">
        <v>1967</v>
      </c>
      <c r="N250" s="30" t="s">
        <v>58</v>
      </c>
      <c r="O250" s="30" t="n">
        <v>5</v>
      </c>
      <c r="P250" s="30" t="n">
        <v>0</v>
      </c>
      <c r="Q250" s="30" t="n">
        <v>4</v>
      </c>
      <c r="R250" s="30" t="n">
        <v>80</v>
      </c>
      <c r="S250" s="30" t="n">
        <v>3661.6</v>
      </c>
      <c r="T250" s="30" t="n">
        <v>3661.6</v>
      </c>
      <c r="U250" s="30" t="n">
        <v>2792.7</v>
      </c>
      <c r="V250" s="30" t="n">
        <v>868.9</v>
      </c>
      <c r="W250" s="30" t="s">
        <v>53</v>
      </c>
      <c r="X250" s="30" t="s">
        <v>53</v>
      </c>
      <c r="Y250" s="30" t="s">
        <v>54</v>
      </c>
      <c r="Z250" s="30" t="s">
        <v>53</v>
      </c>
      <c r="AA250" s="30" t="s">
        <v>53</v>
      </c>
      <c r="AB250" s="30" t="s">
        <v>53</v>
      </c>
      <c r="AC250" s="30" t="s">
        <v>53</v>
      </c>
      <c r="AD250" s="30" t="s">
        <v>53</v>
      </c>
      <c r="AE250" s="30" t="s">
        <v>54</v>
      </c>
      <c r="AF250" s="30" t="n">
        <v>0</v>
      </c>
      <c r="AG250" s="30" t="n">
        <v>0</v>
      </c>
      <c r="AH250" s="30" t="n">
        <v>1</v>
      </c>
      <c r="AI250" s="30" t="n">
        <v>0</v>
      </c>
      <c r="AJ250" s="30" t="n">
        <v>1</v>
      </c>
      <c r="AK250" s="30" t="n">
        <v>0</v>
      </c>
      <c r="AL250" s="26"/>
    </row>
    <row collapsed="false" customFormat="false" customHeight="false" hidden="false" ht="14.5" outlineLevel="0" r="251">
      <c r="A251" s="30" t="n">
        <v>242</v>
      </c>
      <c r="B251" s="30" t="s">
        <v>45</v>
      </c>
      <c r="C251" s="30" t="s">
        <v>46</v>
      </c>
      <c r="D251" s="30" t="s">
        <v>377</v>
      </c>
      <c r="E251" s="30" t="s">
        <v>380</v>
      </c>
      <c r="F251" s="30"/>
      <c r="G251" s="30"/>
      <c r="H251" s="30" t="s">
        <v>381</v>
      </c>
      <c r="I251" s="30" t="s">
        <v>56</v>
      </c>
      <c r="J251" s="30"/>
      <c r="K251" s="30" t="s">
        <v>101</v>
      </c>
      <c r="L251" s="30" t="s">
        <v>51</v>
      </c>
      <c r="M251" s="30" t="n">
        <v>1973</v>
      </c>
      <c r="N251" s="30" t="s">
        <v>58</v>
      </c>
      <c r="O251" s="30" t="n">
        <v>5</v>
      </c>
      <c r="P251" s="30" t="n">
        <v>0</v>
      </c>
      <c r="Q251" s="30" t="n">
        <v>2</v>
      </c>
      <c r="R251" s="30" t="n">
        <v>39</v>
      </c>
      <c r="S251" s="30" t="n">
        <v>3245.1</v>
      </c>
      <c r="T251" s="30" t="n">
        <v>3245.1</v>
      </c>
      <c r="U251" s="30" t="n">
        <v>3245.1</v>
      </c>
      <c r="V251" s="30"/>
      <c r="W251" s="30" t="s">
        <v>53</v>
      </c>
      <c r="X251" s="30" t="s">
        <v>53</v>
      </c>
      <c r="Y251" s="30" t="s">
        <v>54</v>
      </c>
      <c r="Z251" s="30" t="s">
        <v>53</v>
      </c>
      <c r="AA251" s="30" t="s">
        <v>53</v>
      </c>
      <c r="AB251" s="30" t="s">
        <v>53</v>
      </c>
      <c r="AC251" s="30" t="s">
        <v>53</v>
      </c>
      <c r="AD251" s="30" t="s">
        <v>53</v>
      </c>
      <c r="AE251" s="30" t="s">
        <v>54</v>
      </c>
      <c r="AF251" s="30" t="n">
        <v>0</v>
      </c>
      <c r="AG251" s="30" t="n">
        <v>0</v>
      </c>
      <c r="AH251" s="30" t="n">
        <v>1</v>
      </c>
      <c r="AI251" s="30" t="n">
        <v>0</v>
      </c>
      <c r="AJ251" s="30" t="n">
        <v>1</v>
      </c>
      <c r="AK251" s="30" t="n">
        <v>0</v>
      </c>
      <c r="AL251" s="26"/>
    </row>
    <row collapsed="false" customFormat="false" customHeight="false" hidden="false" ht="14.5" outlineLevel="0" r="252">
      <c r="A252" s="30" t="n">
        <v>243</v>
      </c>
      <c r="B252" s="30" t="s">
        <v>45</v>
      </c>
      <c r="C252" s="30" t="s">
        <v>46</v>
      </c>
      <c r="D252" s="30" t="s">
        <v>377</v>
      </c>
      <c r="E252" s="30" t="n">
        <v>7</v>
      </c>
      <c r="F252" s="30"/>
      <c r="G252" s="30"/>
      <c r="H252" s="30" t="s">
        <v>382</v>
      </c>
      <c r="I252" s="30" t="s">
        <v>56</v>
      </c>
      <c r="J252" s="30"/>
      <c r="K252" s="30" t="s">
        <v>64</v>
      </c>
      <c r="L252" s="30" t="s">
        <v>51</v>
      </c>
      <c r="M252" s="30" t="n">
        <v>1958</v>
      </c>
      <c r="N252" s="30" t="s">
        <v>58</v>
      </c>
      <c r="O252" s="30" t="n">
        <v>3</v>
      </c>
      <c r="P252" s="30" t="n">
        <v>0</v>
      </c>
      <c r="Q252" s="30" t="n">
        <v>2</v>
      </c>
      <c r="R252" s="30" t="n">
        <v>27</v>
      </c>
      <c r="S252" s="30" t="n">
        <v>1750.2</v>
      </c>
      <c r="T252" s="30" t="n">
        <v>1750.2</v>
      </c>
      <c r="U252" s="30" t="n">
        <v>1555.8</v>
      </c>
      <c r="V252" s="30" t="n">
        <v>194.4</v>
      </c>
      <c r="W252" s="30" t="s">
        <v>53</v>
      </c>
      <c r="X252" s="30" t="s">
        <v>53</v>
      </c>
      <c r="Y252" s="30" t="s">
        <v>54</v>
      </c>
      <c r="Z252" s="30" t="s">
        <v>53</v>
      </c>
      <c r="AA252" s="30" t="s">
        <v>53</v>
      </c>
      <c r="AB252" s="30" t="s">
        <v>53</v>
      </c>
      <c r="AC252" s="30" t="s">
        <v>53</v>
      </c>
      <c r="AD252" s="30" t="s">
        <v>53</v>
      </c>
      <c r="AE252" s="30" t="s">
        <v>54</v>
      </c>
      <c r="AF252" s="30" t="n">
        <v>0</v>
      </c>
      <c r="AG252" s="30" t="n">
        <v>0</v>
      </c>
      <c r="AH252" s="30" t="n">
        <v>1</v>
      </c>
      <c r="AI252" s="30" t="n">
        <v>0</v>
      </c>
      <c r="AJ252" s="30" t="n">
        <v>1</v>
      </c>
      <c r="AK252" s="30" t="n">
        <v>0</v>
      </c>
      <c r="AL252" s="26"/>
    </row>
    <row collapsed="false" customFormat="false" customHeight="false" hidden="false" ht="14.5" outlineLevel="0" r="253">
      <c r="A253" s="30" t="n">
        <v>244</v>
      </c>
      <c r="B253" s="30" t="s">
        <v>45</v>
      </c>
      <c r="C253" s="30" t="s">
        <v>206</v>
      </c>
      <c r="D253" s="30" t="s">
        <v>383</v>
      </c>
      <c r="E253" s="30" t="n">
        <v>2</v>
      </c>
      <c r="F253" s="30" t="s">
        <v>67</v>
      </c>
      <c r="G253" s="30"/>
      <c r="H253" s="30" t="s">
        <v>384</v>
      </c>
      <c r="I253" s="30" t="s">
        <v>56</v>
      </c>
      <c r="J253" s="30"/>
      <c r="K253" s="30" t="s">
        <v>64</v>
      </c>
      <c r="L253" s="30"/>
      <c r="M253" s="30" t="n">
        <v>1958</v>
      </c>
      <c r="N253" s="30" t="s">
        <v>58</v>
      </c>
      <c r="O253" s="30" t="n">
        <v>3</v>
      </c>
      <c r="P253" s="30" t="n">
        <v>0</v>
      </c>
      <c r="Q253" s="30" t="n">
        <v>3</v>
      </c>
      <c r="R253" s="30" t="n">
        <v>27</v>
      </c>
      <c r="S253" s="30" t="n">
        <v>1455.3</v>
      </c>
      <c r="T253" s="30" t="n">
        <v>1455.3</v>
      </c>
      <c r="U253" s="30" t="n">
        <v>1455.3</v>
      </c>
      <c r="V253" s="30"/>
      <c r="W253" s="30" t="s">
        <v>53</v>
      </c>
      <c r="X253" s="30" t="s">
        <v>53</v>
      </c>
      <c r="Y253" s="30" t="s">
        <v>54</v>
      </c>
      <c r="Z253" s="30" t="s">
        <v>53</v>
      </c>
      <c r="AA253" s="30" t="s">
        <v>53</v>
      </c>
      <c r="AB253" s="30" t="s">
        <v>53</v>
      </c>
      <c r="AC253" s="30" t="s">
        <v>53</v>
      </c>
      <c r="AD253" s="30" t="s">
        <v>53</v>
      </c>
      <c r="AE253" s="30" t="s">
        <v>54</v>
      </c>
      <c r="AF253" s="30" t="n">
        <v>0</v>
      </c>
      <c r="AG253" s="30" t="n">
        <v>0</v>
      </c>
      <c r="AH253" s="30" t="n">
        <v>0</v>
      </c>
      <c r="AI253" s="30" t="n">
        <v>0</v>
      </c>
      <c r="AJ253" s="30" t="n">
        <v>1</v>
      </c>
      <c r="AK253" s="30" t="n">
        <v>0</v>
      </c>
      <c r="AL253" s="26"/>
    </row>
    <row collapsed="false" customFormat="false" customHeight="false" hidden="false" ht="14.5" outlineLevel="0" r="254">
      <c r="A254" s="30" t="n">
        <v>245</v>
      </c>
      <c r="B254" s="30" t="s">
        <v>45</v>
      </c>
      <c r="C254" s="30" t="s">
        <v>206</v>
      </c>
      <c r="D254" s="30" t="s">
        <v>383</v>
      </c>
      <c r="E254" s="30" t="n">
        <v>6</v>
      </c>
      <c r="F254" s="30"/>
      <c r="G254" s="30"/>
      <c r="H254" s="30" t="s">
        <v>385</v>
      </c>
      <c r="I254" s="30" t="s">
        <v>56</v>
      </c>
      <c r="J254" s="30"/>
      <c r="K254" s="30" t="s">
        <v>101</v>
      </c>
      <c r="L254" s="30" t="s">
        <v>51</v>
      </c>
      <c r="M254" s="30" t="n">
        <v>1979</v>
      </c>
      <c r="N254" s="30" t="s">
        <v>58</v>
      </c>
      <c r="O254" s="30" t="n">
        <v>5</v>
      </c>
      <c r="P254" s="30" t="n">
        <v>0</v>
      </c>
      <c r="Q254" s="30" t="n">
        <v>6</v>
      </c>
      <c r="R254" s="30" t="n">
        <v>94</v>
      </c>
      <c r="S254" s="30" t="n">
        <v>4743.9</v>
      </c>
      <c r="T254" s="30" t="n">
        <v>4743.9</v>
      </c>
      <c r="U254" s="30" t="n">
        <v>4743.9</v>
      </c>
      <c r="V254" s="30"/>
      <c r="W254" s="30" t="s">
        <v>53</v>
      </c>
      <c r="X254" s="30" t="s">
        <v>53</v>
      </c>
      <c r="Y254" s="30" t="s">
        <v>54</v>
      </c>
      <c r="Z254" s="30" t="s">
        <v>53</v>
      </c>
      <c r="AA254" s="30" t="s">
        <v>53</v>
      </c>
      <c r="AB254" s="30" t="s">
        <v>53</v>
      </c>
      <c r="AC254" s="30" t="s">
        <v>53</v>
      </c>
      <c r="AD254" s="30" t="s">
        <v>53</v>
      </c>
      <c r="AE254" s="30" t="s">
        <v>54</v>
      </c>
      <c r="AF254" s="30" t="n">
        <v>0</v>
      </c>
      <c r="AG254" s="30" t="n">
        <v>0</v>
      </c>
      <c r="AH254" s="30" t="n">
        <v>1</v>
      </c>
      <c r="AI254" s="30" t="n">
        <v>0</v>
      </c>
      <c r="AJ254" s="30" t="n">
        <v>1</v>
      </c>
      <c r="AK254" s="30" t="n">
        <v>0</v>
      </c>
      <c r="AL254" s="26"/>
    </row>
    <row collapsed="false" customFormat="false" customHeight="false" hidden="false" ht="14.5" outlineLevel="0" r="255">
      <c r="A255" s="30" t="n">
        <v>246</v>
      </c>
      <c r="B255" s="30" t="s">
        <v>45</v>
      </c>
      <c r="C255" s="30" t="s">
        <v>206</v>
      </c>
      <c r="D255" s="30" t="s">
        <v>383</v>
      </c>
      <c r="E255" s="30" t="n">
        <v>6</v>
      </c>
      <c r="F255" s="30" t="n">
        <v>1</v>
      </c>
      <c r="G255" s="30"/>
      <c r="H255" s="30" t="s">
        <v>386</v>
      </c>
      <c r="I255" s="30" t="s">
        <v>56</v>
      </c>
      <c r="J255" s="30"/>
      <c r="K255" s="30" t="s">
        <v>101</v>
      </c>
      <c r="L255" s="30" t="s">
        <v>51</v>
      </c>
      <c r="M255" s="30" t="n">
        <v>1979</v>
      </c>
      <c r="N255" s="30" t="s">
        <v>58</v>
      </c>
      <c r="O255" s="30" t="n">
        <v>5</v>
      </c>
      <c r="P255" s="30" t="n">
        <v>0</v>
      </c>
      <c r="Q255" s="30" t="n">
        <v>6</v>
      </c>
      <c r="R255" s="30" t="n">
        <v>94</v>
      </c>
      <c r="S255" s="30" t="n">
        <v>4681</v>
      </c>
      <c r="T255" s="30" t="n">
        <v>4681</v>
      </c>
      <c r="U255" s="30" t="n">
        <v>4681</v>
      </c>
      <c r="V255" s="30"/>
      <c r="W255" s="30" t="s">
        <v>53</v>
      </c>
      <c r="X255" s="30" t="s">
        <v>53</v>
      </c>
      <c r="Y255" s="30" t="s">
        <v>54</v>
      </c>
      <c r="Z255" s="30" t="s">
        <v>53</v>
      </c>
      <c r="AA255" s="30" t="s">
        <v>53</v>
      </c>
      <c r="AB255" s="30" t="s">
        <v>53</v>
      </c>
      <c r="AC255" s="30" t="s">
        <v>53</v>
      </c>
      <c r="AD255" s="30" t="s">
        <v>53</v>
      </c>
      <c r="AE255" s="30" t="s">
        <v>54</v>
      </c>
      <c r="AF255" s="30" t="n">
        <v>0</v>
      </c>
      <c r="AG255" s="30" t="n">
        <v>0</v>
      </c>
      <c r="AH255" s="30" t="n">
        <v>1</v>
      </c>
      <c r="AI255" s="30" t="n">
        <v>0</v>
      </c>
      <c r="AJ255" s="30" t="n">
        <v>1</v>
      </c>
      <c r="AK255" s="30" t="n">
        <v>0</v>
      </c>
      <c r="AL255" s="26"/>
    </row>
    <row collapsed="false" customFormat="false" customHeight="false" hidden="false" ht="14.5" outlineLevel="0" r="256">
      <c r="A256" s="30" t="n">
        <v>247</v>
      </c>
      <c r="B256" s="30" t="s">
        <v>45</v>
      </c>
      <c r="C256" s="30" t="s">
        <v>206</v>
      </c>
      <c r="D256" s="30" t="s">
        <v>383</v>
      </c>
      <c r="E256" s="30" t="s">
        <v>387</v>
      </c>
      <c r="F256" s="30"/>
      <c r="G256" s="30"/>
      <c r="H256" s="30" t="s">
        <v>388</v>
      </c>
      <c r="I256" s="30" t="s">
        <v>56</v>
      </c>
      <c r="J256" s="30"/>
      <c r="K256" s="30" t="s">
        <v>64</v>
      </c>
      <c r="L256" s="30" t="s">
        <v>51</v>
      </c>
      <c r="M256" s="30" t="n">
        <v>1967</v>
      </c>
      <c r="N256" s="30" t="s">
        <v>58</v>
      </c>
      <c r="O256" s="30" t="n">
        <v>4</v>
      </c>
      <c r="P256" s="30" t="n">
        <v>0</v>
      </c>
      <c r="Q256" s="30" t="n">
        <v>4</v>
      </c>
      <c r="R256" s="30" t="n">
        <v>64</v>
      </c>
      <c r="S256" s="30" t="n">
        <v>2774.8</v>
      </c>
      <c r="T256" s="30" t="n">
        <v>2774.8</v>
      </c>
      <c r="U256" s="30" t="n">
        <v>2774.8</v>
      </c>
      <c r="V256" s="30"/>
      <c r="W256" s="30" t="s">
        <v>53</v>
      </c>
      <c r="X256" s="30" t="s">
        <v>53</v>
      </c>
      <c r="Y256" s="30" t="s">
        <v>54</v>
      </c>
      <c r="Z256" s="30" t="s">
        <v>53</v>
      </c>
      <c r="AA256" s="30" t="s">
        <v>53</v>
      </c>
      <c r="AB256" s="30" t="s">
        <v>53</v>
      </c>
      <c r="AC256" s="30" t="s">
        <v>53</v>
      </c>
      <c r="AD256" s="30" t="s">
        <v>53</v>
      </c>
      <c r="AE256" s="30" t="s">
        <v>54</v>
      </c>
      <c r="AF256" s="30" t="n">
        <v>0</v>
      </c>
      <c r="AG256" s="30" t="n">
        <v>0</v>
      </c>
      <c r="AH256" s="30" t="n">
        <v>1</v>
      </c>
      <c r="AI256" s="30" t="n">
        <v>0</v>
      </c>
      <c r="AJ256" s="30" t="n">
        <v>1</v>
      </c>
      <c r="AK256" s="30" t="n">
        <v>0</v>
      </c>
      <c r="AL256" s="26"/>
    </row>
    <row collapsed="false" customFormat="false" customHeight="false" hidden="false" ht="14.5" outlineLevel="0" r="257">
      <c r="A257" s="30" t="n">
        <v>248</v>
      </c>
      <c r="B257" s="30" t="s">
        <v>45</v>
      </c>
      <c r="C257" s="30" t="s">
        <v>59</v>
      </c>
      <c r="D257" s="30" t="s">
        <v>389</v>
      </c>
      <c r="E257" s="30" t="n">
        <v>6</v>
      </c>
      <c r="F257" s="30"/>
      <c r="G257" s="30"/>
      <c r="H257" s="30" t="s">
        <v>390</v>
      </c>
      <c r="I257" s="30" t="s">
        <v>56</v>
      </c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 t="n">
        <v>490</v>
      </c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26"/>
    </row>
    <row collapsed="false" customFormat="false" customHeight="false" hidden="false" ht="14.5" outlineLevel="0" r="258">
      <c r="A258" s="30" t="n">
        <v>249</v>
      </c>
      <c r="B258" s="30" t="s">
        <v>45</v>
      </c>
      <c r="C258" s="30" t="s">
        <v>206</v>
      </c>
      <c r="D258" s="30" t="s">
        <v>391</v>
      </c>
      <c r="E258" s="30" t="s">
        <v>392</v>
      </c>
      <c r="F258" s="30"/>
      <c r="G258" s="30"/>
      <c r="H258" s="30" t="s">
        <v>393</v>
      </c>
      <c r="I258" s="30" t="s">
        <v>56</v>
      </c>
      <c r="J258" s="30"/>
      <c r="K258" s="30" t="s">
        <v>64</v>
      </c>
      <c r="L258" s="30" t="s">
        <v>51</v>
      </c>
      <c r="M258" s="30" t="n">
        <v>1958</v>
      </c>
      <c r="N258" s="30" t="s">
        <v>58</v>
      </c>
      <c r="O258" s="30" t="n">
        <v>3</v>
      </c>
      <c r="P258" s="30" t="n">
        <v>0</v>
      </c>
      <c r="Q258" s="30" t="n">
        <v>3</v>
      </c>
      <c r="R258" s="30" t="n">
        <v>27</v>
      </c>
      <c r="S258" s="30" t="n">
        <v>1451.8</v>
      </c>
      <c r="T258" s="30" t="n">
        <v>1451.8</v>
      </c>
      <c r="U258" s="30" t="n">
        <v>1451.8</v>
      </c>
      <c r="V258" s="30"/>
      <c r="W258" s="30" t="s">
        <v>53</v>
      </c>
      <c r="X258" s="30" t="s">
        <v>53</v>
      </c>
      <c r="Y258" s="30" t="s">
        <v>54</v>
      </c>
      <c r="Z258" s="30" t="s">
        <v>53</v>
      </c>
      <c r="AA258" s="30" t="s">
        <v>53</v>
      </c>
      <c r="AB258" s="30" t="s">
        <v>53</v>
      </c>
      <c r="AC258" s="30" t="s">
        <v>53</v>
      </c>
      <c r="AD258" s="30" t="s">
        <v>53</v>
      </c>
      <c r="AE258" s="30" t="s">
        <v>54</v>
      </c>
      <c r="AF258" s="30" t="n">
        <v>0</v>
      </c>
      <c r="AG258" s="30" t="n">
        <v>0</v>
      </c>
      <c r="AH258" s="30" t="n">
        <v>0</v>
      </c>
      <c r="AI258" s="30" t="n">
        <v>0</v>
      </c>
      <c r="AJ258" s="30" t="n">
        <v>0</v>
      </c>
      <c r="AK258" s="30" t="n">
        <v>0</v>
      </c>
      <c r="AL258" s="26"/>
    </row>
    <row collapsed="false" customFormat="true" customHeight="false" hidden="false" ht="14.5" outlineLevel="0" r="259" s="2">
      <c r="A259" s="30" t="n">
        <v>250</v>
      </c>
      <c r="B259" s="30" t="s">
        <v>45</v>
      </c>
      <c r="C259" s="30" t="s">
        <v>206</v>
      </c>
      <c r="D259" s="30" t="s">
        <v>391</v>
      </c>
      <c r="E259" s="30" t="n">
        <v>12</v>
      </c>
      <c r="F259" s="30"/>
      <c r="G259" s="30"/>
      <c r="H259" s="30" t="s">
        <v>394</v>
      </c>
      <c r="I259" s="30" t="s">
        <v>56</v>
      </c>
      <c r="J259" s="30"/>
      <c r="K259" s="30" t="s">
        <v>64</v>
      </c>
      <c r="L259" s="30" t="s">
        <v>51</v>
      </c>
      <c r="M259" s="30" t="n">
        <v>1967</v>
      </c>
      <c r="N259" s="30" t="s">
        <v>58</v>
      </c>
      <c r="O259" s="30" t="n">
        <v>4</v>
      </c>
      <c r="P259" s="30" t="n">
        <v>0</v>
      </c>
      <c r="Q259" s="30" t="n">
        <v>3</v>
      </c>
      <c r="R259" s="30" t="n">
        <v>48</v>
      </c>
      <c r="S259" s="30" t="n">
        <v>2001.8</v>
      </c>
      <c r="T259" s="30" t="n">
        <v>2001.8</v>
      </c>
      <c r="U259" s="30" t="n">
        <v>2001.8</v>
      </c>
      <c r="V259" s="30"/>
      <c r="W259" s="30" t="s">
        <v>53</v>
      </c>
      <c r="X259" s="30" t="s">
        <v>53</v>
      </c>
      <c r="Y259" s="30" t="s">
        <v>54</v>
      </c>
      <c r="Z259" s="30" t="s">
        <v>53</v>
      </c>
      <c r="AA259" s="30" t="s">
        <v>53</v>
      </c>
      <c r="AB259" s="30" t="s">
        <v>53</v>
      </c>
      <c r="AC259" s="30" t="s">
        <v>53</v>
      </c>
      <c r="AD259" s="30" t="s">
        <v>53</v>
      </c>
      <c r="AE259" s="30" t="s">
        <v>54</v>
      </c>
      <c r="AF259" s="30" t="n">
        <v>0</v>
      </c>
      <c r="AG259" s="30" t="n">
        <v>0</v>
      </c>
      <c r="AH259" s="30" t="n">
        <v>1</v>
      </c>
      <c r="AI259" s="30" t="n">
        <v>0</v>
      </c>
      <c r="AJ259" s="30" t="n">
        <v>0</v>
      </c>
      <c r="AK259" s="30" t="n">
        <v>0</v>
      </c>
      <c r="AL259" s="31"/>
    </row>
    <row collapsed="false" customFormat="true" customHeight="false" hidden="false" ht="14.5" outlineLevel="0" r="260" s="2">
      <c r="A260" s="30" t="n">
        <v>251</v>
      </c>
      <c r="B260" s="30" t="s">
        <v>45</v>
      </c>
      <c r="C260" s="30" t="s">
        <v>46</v>
      </c>
      <c r="D260" s="30" t="s">
        <v>395</v>
      </c>
      <c r="E260" s="30" t="n">
        <v>2</v>
      </c>
      <c r="F260" s="30"/>
      <c r="G260" s="30"/>
      <c r="H260" s="30" t="s">
        <v>396</v>
      </c>
      <c r="I260" s="30" t="s">
        <v>56</v>
      </c>
      <c r="J260" s="30"/>
      <c r="K260" s="30" t="s">
        <v>64</v>
      </c>
      <c r="L260" s="30" t="s">
        <v>51</v>
      </c>
      <c r="M260" s="30" t="n">
        <v>1965</v>
      </c>
      <c r="N260" s="30" t="s">
        <v>58</v>
      </c>
      <c r="O260" s="30" t="n">
        <v>5</v>
      </c>
      <c r="P260" s="30" t="n">
        <v>0</v>
      </c>
      <c r="Q260" s="30" t="n">
        <v>4</v>
      </c>
      <c r="R260" s="30" t="n">
        <v>80</v>
      </c>
      <c r="S260" s="30" t="n">
        <v>3209.3</v>
      </c>
      <c r="T260" s="30" t="n">
        <v>3209.3</v>
      </c>
      <c r="U260" s="30" t="n">
        <v>3209.3</v>
      </c>
      <c r="V260" s="30"/>
      <c r="W260" s="30" t="s">
        <v>53</v>
      </c>
      <c r="X260" s="30" t="s">
        <v>53</v>
      </c>
      <c r="Y260" s="30" t="s">
        <v>54</v>
      </c>
      <c r="Z260" s="30" t="s">
        <v>53</v>
      </c>
      <c r="AA260" s="30" t="s">
        <v>53</v>
      </c>
      <c r="AB260" s="30" t="s">
        <v>53</v>
      </c>
      <c r="AC260" s="30" t="s">
        <v>53</v>
      </c>
      <c r="AD260" s="30" t="s">
        <v>53</v>
      </c>
      <c r="AE260" s="30" t="s">
        <v>54</v>
      </c>
      <c r="AF260" s="30" t="n">
        <v>0</v>
      </c>
      <c r="AG260" s="30" t="n">
        <v>0</v>
      </c>
      <c r="AH260" s="30" t="n">
        <v>1</v>
      </c>
      <c r="AI260" s="30" t="n">
        <v>0</v>
      </c>
      <c r="AJ260" s="30" t="n">
        <v>1</v>
      </c>
      <c r="AK260" s="30" t="n">
        <v>0</v>
      </c>
      <c r="AL260" s="31"/>
    </row>
    <row collapsed="false" customFormat="true" customHeight="false" hidden="false" ht="14.5" outlineLevel="0" r="261" s="2">
      <c r="A261" s="30" t="n">
        <v>252</v>
      </c>
      <c r="B261" s="30" t="s">
        <v>45</v>
      </c>
      <c r="C261" s="30" t="s">
        <v>266</v>
      </c>
      <c r="D261" s="30" t="s">
        <v>395</v>
      </c>
      <c r="E261" s="30" t="n">
        <v>12</v>
      </c>
      <c r="F261" s="30"/>
      <c r="G261" s="30"/>
      <c r="H261" s="30" t="s">
        <v>397</v>
      </c>
      <c r="I261" s="30" t="s">
        <v>56</v>
      </c>
      <c r="J261" s="30"/>
      <c r="K261" s="30"/>
      <c r="L261" s="30"/>
      <c r="M261" s="30"/>
      <c r="N261" s="30"/>
      <c r="O261" s="30"/>
      <c r="P261" s="30"/>
      <c r="Q261" s="30"/>
      <c r="R261" s="30"/>
      <c r="S261" s="30" t="n">
        <v>447.2</v>
      </c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1"/>
    </row>
    <row collapsed="false" customFormat="true" customHeight="false" hidden="false" ht="14.5" outlineLevel="0" r="262" s="2">
      <c r="A262" s="30" t="n">
        <v>253</v>
      </c>
      <c r="B262" s="30" t="s">
        <v>45</v>
      </c>
      <c r="C262" s="30" t="s">
        <v>266</v>
      </c>
      <c r="D262" s="30" t="s">
        <v>395</v>
      </c>
      <c r="E262" s="30" t="n">
        <v>12</v>
      </c>
      <c r="F262" s="30" t="s">
        <v>67</v>
      </c>
      <c r="G262" s="30"/>
      <c r="H262" s="30" t="s">
        <v>398</v>
      </c>
      <c r="I262" s="30" t="s">
        <v>56</v>
      </c>
      <c r="J262" s="30"/>
      <c r="K262" s="30"/>
      <c r="L262" s="30"/>
      <c r="M262" s="30"/>
      <c r="N262" s="30"/>
      <c r="O262" s="30"/>
      <c r="P262" s="30"/>
      <c r="Q262" s="30"/>
      <c r="R262" s="30"/>
      <c r="S262" s="30" t="n">
        <v>448.9</v>
      </c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1"/>
    </row>
    <row collapsed="false" customFormat="false" customHeight="false" hidden="false" ht="14.5" outlineLevel="0" r="263">
      <c r="A263" s="30" t="n">
        <v>254</v>
      </c>
      <c r="B263" s="30" t="s">
        <v>45</v>
      </c>
      <c r="C263" s="30" t="s">
        <v>266</v>
      </c>
      <c r="D263" s="30" t="s">
        <v>395</v>
      </c>
      <c r="E263" s="30" t="n">
        <v>14</v>
      </c>
      <c r="F263" s="30"/>
      <c r="G263" s="30"/>
      <c r="H263" s="30" t="s">
        <v>399</v>
      </c>
      <c r="I263" s="30" t="s">
        <v>56</v>
      </c>
      <c r="J263" s="30"/>
      <c r="K263" s="30"/>
      <c r="L263" s="30"/>
      <c r="M263" s="30"/>
      <c r="N263" s="30"/>
      <c r="O263" s="30"/>
      <c r="P263" s="30"/>
      <c r="Q263" s="30"/>
      <c r="R263" s="30"/>
      <c r="S263" s="30" t="n">
        <v>429.2</v>
      </c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26"/>
    </row>
    <row collapsed="false" customFormat="false" customHeight="false" hidden="false" ht="14.5" outlineLevel="0" r="264">
      <c r="A264" s="30" t="n">
        <v>255</v>
      </c>
      <c r="B264" s="30" t="s">
        <v>45</v>
      </c>
      <c r="C264" s="30" t="s">
        <v>266</v>
      </c>
      <c r="D264" s="30" t="s">
        <v>395</v>
      </c>
      <c r="E264" s="30" t="n">
        <v>14</v>
      </c>
      <c r="F264" s="30" t="s">
        <v>67</v>
      </c>
      <c r="G264" s="30"/>
      <c r="H264" s="30" t="s">
        <v>400</v>
      </c>
      <c r="I264" s="30" t="s">
        <v>56</v>
      </c>
      <c r="J264" s="30"/>
      <c r="K264" s="30"/>
      <c r="L264" s="30"/>
      <c r="M264" s="30"/>
      <c r="N264" s="30"/>
      <c r="O264" s="30"/>
      <c r="P264" s="30"/>
      <c r="Q264" s="30"/>
      <c r="R264" s="30"/>
      <c r="S264" s="30" t="n">
        <v>426.7</v>
      </c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26"/>
    </row>
    <row collapsed="false" customFormat="false" customHeight="false" hidden="false" ht="14.5" outlineLevel="0" r="265">
      <c r="A265" s="30" t="n">
        <v>256</v>
      </c>
      <c r="B265" s="30" t="s">
        <v>45</v>
      </c>
      <c r="C265" s="30" t="s">
        <v>206</v>
      </c>
      <c r="D265" s="30" t="s">
        <v>401</v>
      </c>
      <c r="E265" s="30" t="n">
        <v>2</v>
      </c>
      <c r="F265" s="30"/>
      <c r="G265" s="30"/>
      <c r="H265" s="30" t="s">
        <v>402</v>
      </c>
      <c r="I265" s="30" t="s">
        <v>56</v>
      </c>
      <c r="J265" s="30"/>
      <c r="K265" s="30" t="s">
        <v>64</v>
      </c>
      <c r="L265" s="30"/>
      <c r="M265" s="30" t="n">
        <v>1960</v>
      </c>
      <c r="N265" s="30" t="s">
        <v>58</v>
      </c>
      <c r="O265" s="30" t="n">
        <v>3</v>
      </c>
      <c r="P265" s="30" t="n">
        <v>0</v>
      </c>
      <c r="Q265" s="30" t="n">
        <v>2</v>
      </c>
      <c r="R265" s="30" t="n">
        <v>24</v>
      </c>
      <c r="S265" s="30" t="n">
        <v>934.2</v>
      </c>
      <c r="T265" s="30" t="n">
        <v>934.2</v>
      </c>
      <c r="U265" s="30" t="n">
        <v>934.2</v>
      </c>
      <c r="V265" s="30"/>
      <c r="W265" s="30" t="s">
        <v>53</v>
      </c>
      <c r="X265" s="30" t="s">
        <v>53</v>
      </c>
      <c r="Y265" s="30" t="s">
        <v>54</v>
      </c>
      <c r="Z265" s="30" t="s">
        <v>53</v>
      </c>
      <c r="AA265" s="30" t="s">
        <v>53</v>
      </c>
      <c r="AB265" s="30" t="s">
        <v>53</v>
      </c>
      <c r="AC265" s="30" t="s">
        <v>53</v>
      </c>
      <c r="AD265" s="30" t="s">
        <v>53</v>
      </c>
      <c r="AE265" s="30" t="s">
        <v>54</v>
      </c>
      <c r="AF265" s="30" t="n">
        <v>0</v>
      </c>
      <c r="AG265" s="30" t="n">
        <v>0</v>
      </c>
      <c r="AH265" s="30" t="n">
        <v>1</v>
      </c>
      <c r="AI265" s="30" t="n">
        <v>0</v>
      </c>
      <c r="AJ265" s="30" t="n">
        <v>1</v>
      </c>
      <c r="AK265" s="30" t="n">
        <v>0</v>
      </c>
      <c r="AL265" s="26"/>
    </row>
    <row collapsed="false" customFormat="false" customHeight="false" hidden="false" ht="14.5" outlineLevel="0" r="266">
      <c r="A266" s="30" t="n">
        <v>257</v>
      </c>
      <c r="B266" s="30" t="s">
        <v>45</v>
      </c>
      <c r="C266" s="30" t="s">
        <v>206</v>
      </c>
      <c r="D266" s="30" t="s">
        <v>401</v>
      </c>
      <c r="E266" s="30" t="n">
        <v>4</v>
      </c>
      <c r="F266" s="30"/>
      <c r="G266" s="30"/>
      <c r="H266" s="30" t="s">
        <v>403</v>
      </c>
      <c r="I266" s="30" t="s">
        <v>56</v>
      </c>
      <c r="J266" s="30"/>
      <c r="K266" s="30" t="s">
        <v>64</v>
      </c>
      <c r="L266" s="30" t="s">
        <v>51</v>
      </c>
      <c r="M266" s="30" t="n">
        <v>1959</v>
      </c>
      <c r="N266" s="30" t="s">
        <v>58</v>
      </c>
      <c r="O266" s="30" t="n">
        <v>3</v>
      </c>
      <c r="P266" s="30" t="n">
        <v>0</v>
      </c>
      <c r="Q266" s="30" t="n">
        <v>4</v>
      </c>
      <c r="R266" s="30" t="n">
        <v>30</v>
      </c>
      <c r="S266" s="30" t="n">
        <v>2105.2</v>
      </c>
      <c r="T266" s="30" t="n">
        <v>2105.2</v>
      </c>
      <c r="U266" s="30" t="n">
        <v>2105.2</v>
      </c>
      <c r="V266" s="30"/>
      <c r="W266" s="30" t="s">
        <v>53</v>
      </c>
      <c r="X266" s="30" t="s">
        <v>53</v>
      </c>
      <c r="Y266" s="30" t="s">
        <v>54</v>
      </c>
      <c r="Z266" s="30" t="s">
        <v>53</v>
      </c>
      <c r="AA266" s="30" t="s">
        <v>53</v>
      </c>
      <c r="AB266" s="30" t="s">
        <v>53</v>
      </c>
      <c r="AC266" s="30" t="s">
        <v>53</v>
      </c>
      <c r="AD266" s="30" t="s">
        <v>53</v>
      </c>
      <c r="AE266" s="30" t="s">
        <v>54</v>
      </c>
      <c r="AF266" s="30" t="n">
        <v>0</v>
      </c>
      <c r="AG266" s="30" t="n">
        <v>0</v>
      </c>
      <c r="AH266" s="30" t="n">
        <v>1</v>
      </c>
      <c r="AI266" s="30" t="n">
        <v>0</v>
      </c>
      <c r="AJ266" s="30" t="n">
        <v>1</v>
      </c>
      <c r="AK266" s="30" t="n">
        <v>0</v>
      </c>
      <c r="AL266" s="26"/>
    </row>
    <row collapsed="false" customFormat="false" customHeight="false" hidden="false" ht="14.5" outlineLevel="0" r="267">
      <c r="A267" s="30" t="n">
        <v>258</v>
      </c>
      <c r="B267" s="30" t="s">
        <v>45</v>
      </c>
      <c r="C267" s="30" t="s">
        <v>206</v>
      </c>
      <c r="D267" s="30" t="s">
        <v>401</v>
      </c>
      <c r="E267" s="30" t="n">
        <v>6</v>
      </c>
      <c r="F267" s="30"/>
      <c r="G267" s="30"/>
      <c r="H267" s="30" t="s">
        <v>404</v>
      </c>
      <c r="I267" s="30" t="s">
        <v>56</v>
      </c>
      <c r="J267" s="30"/>
      <c r="K267" s="30" t="s">
        <v>64</v>
      </c>
      <c r="L267" s="30"/>
      <c r="M267" s="30" t="n">
        <v>1966</v>
      </c>
      <c r="N267" s="30" t="s">
        <v>58</v>
      </c>
      <c r="O267" s="30" t="n">
        <v>4</v>
      </c>
      <c r="P267" s="30" t="n">
        <v>0</v>
      </c>
      <c r="Q267" s="30" t="n">
        <v>4</v>
      </c>
      <c r="R267" s="30" t="n">
        <v>64</v>
      </c>
      <c r="S267" s="30" t="n">
        <v>2735</v>
      </c>
      <c r="T267" s="30" t="n">
        <v>2735</v>
      </c>
      <c r="U267" s="30" t="n">
        <v>2735</v>
      </c>
      <c r="V267" s="30"/>
      <c r="W267" s="30" t="s">
        <v>53</v>
      </c>
      <c r="X267" s="30" t="s">
        <v>53</v>
      </c>
      <c r="Y267" s="30" t="s">
        <v>54</v>
      </c>
      <c r="Z267" s="30" t="s">
        <v>53</v>
      </c>
      <c r="AA267" s="30" t="s">
        <v>53</v>
      </c>
      <c r="AB267" s="30" t="s">
        <v>53</v>
      </c>
      <c r="AC267" s="30" t="s">
        <v>53</v>
      </c>
      <c r="AD267" s="30" t="s">
        <v>53</v>
      </c>
      <c r="AE267" s="30" t="s">
        <v>54</v>
      </c>
      <c r="AF267" s="30" t="n">
        <v>0</v>
      </c>
      <c r="AG267" s="30" t="n">
        <v>0</v>
      </c>
      <c r="AH267" s="30" t="n">
        <v>1</v>
      </c>
      <c r="AI267" s="30" t="n">
        <v>0</v>
      </c>
      <c r="AJ267" s="30" t="n">
        <v>1</v>
      </c>
      <c r="AK267" s="30" t="n">
        <v>0</v>
      </c>
      <c r="AL267" s="26"/>
    </row>
    <row collapsed="false" customFormat="false" customHeight="true" hidden="false" ht="21.75" outlineLevel="0" r="268">
      <c r="A268" s="30" t="n">
        <v>259</v>
      </c>
      <c r="B268" s="30" t="s">
        <v>45</v>
      </c>
      <c r="C268" s="30" t="s">
        <v>206</v>
      </c>
      <c r="D268" s="30" t="s">
        <v>401</v>
      </c>
      <c r="E268" s="30" t="n">
        <v>8</v>
      </c>
      <c r="F268" s="30"/>
      <c r="G268" s="30"/>
      <c r="H268" s="30" t="s">
        <v>405</v>
      </c>
      <c r="I268" s="30" t="s">
        <v>56</v>
      </c>
      <c r="J268" s="30"/>
      <c r="K268" s="30" t="s">
        <v>64</v>
      </c>
      <c r="L268" s="30"/>
      <c r="M268" s="30" t="n">
        <v>1967</v>
      </c>
      <c r="N268" s="30" t="s">
        <v>58</v>
      </c>
      <c r="O268" s="30" t="n">
        <v>4</v>
      </c>
      <c r="P268" s="30" t="n">
        <v>0</v>
      </c>
      <c r="Q268" s="30" t="n">
        <v>2</v>
      </c>
      <c r="R268" s="30" t="n">
        <v>32</v>
      </c>
      <c r="S268" s="30" t="n">
        <v>1283.81</v>
      </c>
      <c r="T268" s="30" t="n">
        <v>1283.81</v>
      </c>
      <c r="U268" s="30" t="n">
        <v>1283.81</v>
      </c>
      <c r="V268" s="30"/>
      <c r="W268" s="30" t="s">
        <v>53</v>
      </c>
      <c r="X268" s="30" t="s">
        <v>53</v>
      </c>
      <c r="Y268" s="30" t="s">
        <v>54</v>
      </c>
      <c r="Z268" s="30" t="s">
        <v>53</v>
      </c>
      <c r="AA268" s="30" t="s">
        <v>53</v>
      </c>
      <c r="AB268" s="30" t="s">
        <v>53</v>
      </c>
      <c r="AC268" s="30" t="s">
        <v>53</v>
      </c>
      <c r="AD268" s="30" t="s">
        <v>53</v>
      </c>
      <c r="AE268" s="30" t="s">
        <v>54</v>
      </c>
      <c r="AF268" s="30" t="n">
        <v>0</v>
      </c>
      <c r="AG268" s="30" t="n">
        <v>0</v>
      </c>
      <c r="AH268" s="30" t="n">
        <v>1</v>
      </c>
      <c r="AI268" s="30" t="n">
        <v>0</v>
      </c>
      <c r="AJ268" s="30" t="n">
        <v>1</v>
      </c>
      <c r="AK268" s="30" t="n">
        <v>0</v>
      </c>
      <c r="AL268" s="26"/>
    </row>
    <row collapsed="false" customFormat="false" customHeight="false" hidden="false" ht="14.5" outlineLevel="0" r="269">
      <c r="A269" s="30" t="n">
        <v>260</v>
      </c>
      <c r="B269" s="30" t="s">
        <v>45</v>
      </c>
      <c r="C269" s="30" t="s">
        <v>206</v>
      </c>
      <c r="D269" s="30" t="s">
        <v>401</v>
      </c>
      <c r="E269" s="30" t="n">
        <v>25</v>
      </c>
      <c r="F269" s="30"/>
      <c r="G269" s="30"/>
      <c r="H269" s="30" t="s">
        <v>406</v>
      </c>
      <c r="I269" s="30" t="s">
        <v>56</v>
      </c>
      <c r="J269" s="30"/>
      <c r="K269" s="30" t="s">
        <v>101</v>
      </c>
      <c r="L269" s="30" t="s">
        <v>51</v>
      </c>
      <c r="M269" s="30" t="n">
        <v>1997</v>
      </c>
      <c r="N269" s="30" t="s">
        <v>58</v>
      </c>
      <c r="O269" s="30" t="s">
        <v>407</v>
      </c>
      <c r="P269" s="30"/>
      <c r="Q269" s="30" t="n">
        <v>2</v>
      </c>
      <c r="R269" s="30" t="n">
        <v>50</v>
      </c>
      <c r="S269" s="30" t="n">
        <v>2592.1</v>
      </c>
      <c r="T269" s="30" t="n">
        <v>2592.1</v>
      </c>
      <c r="U269" s="30" t="n">
        <v>2592.1</v>
      </c>
      <c r="V269" s="30"/>
      <c r="W269" s="30" t="s">
        <v>53</v>
      </c>
      <c r="X269" s="30" t="s">
        <v>53</v>
      </c>
      <c r="Y269" s="30" t="s">
        <v>54</v>
      </c>
      <c r="Z269" s="30" t="s">
        <v>53</v>
      </c>
      <c r="AA269" s="30" t="s">
        <v>53</v>
      </c>
      <c r="AB269" s="30" t="s">
        <v>53</v>
      </c>
      <c r="AC269" s="30" t="s">
        <v>53</v>
      </c>
      <c r="AD269" s="30" t="s">
        <v>53</v>
      </c>
      <c r="AE269" s="30" t="s">
        <v>54</v>
      </c>
      <c r="AF269" s="30" t="n">
        <v>1</v>
      </c>
      <c r="AG269" s="30" t="n">
        <v>0</v>
      </c>
      <c r="AH269" s="30" t="n">
        <v>1</v>
      </c>
      <c r="AI269" s="30" t="n">
        <v>0</v>
      </c>
      <c r="AJ269" s="30" t="n">
        <v>1</v>
      </c>
      <c r="AK269" s="30" t="n">
        <v>0</v>
      </c>
      <c r="AL269" s="26"/>
    </row>
    <row collapsed="false" customFormat="false" customHeight="false" hidden="false" ht="14.5" outlineLevel="0" r="270">
      <c r="A270" s="30" t="n">
        <v>261</v>
      </c>
      <c r="B270" s="30" t="s">
        <v>45</v>
      </c>
      <c r="C270" s="30" t="s">
        <v>59</v>
      </c>
      <c r="D270" s="30" t="s">
        <v>408</v>
      </c>
      <c r="E270" s="30" t="n">
        <v>6</v>
      </c>
      <c r="F270" s="30"/>
      <c r="G270" s="30"/>
      <c r="H270" s="30" t="s">
        <v>409</v>
      </c>
      <c r="I270" s="30" t="s">
        <v>56</v>
      </c>
      <c r="J270" s="30"/>
      <c r="K270" s="30" t="s">
        <v>64</v>
      </c>
      <c r="L270" s="30"/>
      <c r="M270" s="30" t="n">
        <v>1963</v>
      </c>
      <c r="N270" s="30" t="s">
        <v>58</v>
      </c>
      <c r="O270" s="30" t="n">
        <v>4</v>
      </c>
      <c r="P270" s="30" t="n">
        <v>0</v>
      </c>
      <c r="Q270" s="30" t="n">
        <v>3</v>
      </c>
      <c r="R270" s="30" t="n">
        <v>49</v>
      </c>
      <c r="S270" s="30" t="n">
        <v>1998</v>
      </c>
      <c r="T270" s="30" t="n">
        <v>1998</v>
      </c>
      <c r="U270" s="30" t="n">
        <v>1998</v>
      </c>
      <c r="V270" s="30"/>
      <c r="W270" s="30" t="s">
        <v>53</v>
      </c>
      <c r="X270" s="30" t="s">
        <v>53</v>
      </c>
      <c r="Y270" s="30" t="s">
        <v>53</v>
      </c>
      <c r="Z270" s="30" t="s">
        <v>53</v>
      </c>
      <c r="AA270" s="30" t="s">
        <v>53</v>
      </c>
      <c r="AB270" s="30" t="s">
        <v>53</v>
      </c>
      <c r="AC270" s="30" t="s">
        <v>53</v>
      </c>
      <c r="AD270" s="30" t="s">
        <v>53</v>
      </c>
      <c r="AE270" s="30" t="s">
        <v>54</v>
      </c>
      <c r="AF270" s="30" t="n">
        <v>0</v>
      </c>
      <c r="AG270" s="30" t="n">
        <v>0</v>
      </c>
      <c r="AH270" s="30" t="n">
        <v>1</v>
      </c>
      <c r="AI270" s="30" t="n">
        <v>0</v>
      </c>
      <c r="AJ270" s="30" t="n">
        <v>1</v>
      </c>
      <c r="AK270" s="30" t="n">
        <v>0</v>
      </c>
      <c r="AL270" s="26"/>
    </row>
    <row collapsed="false" customFormat="false" customHeight="false" hidden="false" ht="14.5" outlineLevel="0" r="271">
      <c r="A271" s="30" t="n">
        <v>262</v>
      </c>
      <c r="B271" s="30" t="s">
        <v>45</v>
      </c>
      <c r="C271" s="30" t="s">
        <v>59</v>
      </c>
      <c r="D271" s="30" t="s">
        <v>410</v>
      </c>
      <c r="E271" s="30" t="n">
        <v>3</v>
      </c>
      <c r="F271" s="30"/>
      <c r="G271" s="30"/>
      <c r="H271" s="30" t="s">
        <v>411</v>
      </c>
      <c r="I271" s="30" t="s">
        <v>56</v>
      </c>
      <c r="J271" s="30"/>
      <c r="K271" s="30" t="s">
        <v>57</v>
      </c>
      <c r="L271" s="30" t="s">
        <v>57</v>
      </c>
      <c r="M271" s="30" t="n">
        <v>1917</v>
      </c>
      <c r="N271" s="30" t="s">
        <v>58</v>
      </c>
      <c r="O271" s="30" t="n">
        <v>2</v>
      </c>
      <c r="P271" s="30" t="n">
        <v>0</v>
      </c>
      <c r="Q271" s="30" t="n">
        <v>1</v>
      </c>
      <c r="R271" s="30" t="n">
        <v>12</v>
      </c>
      <c r="S271" s="30" t="n">
        <v>757.2</v>
      </c>
      <c r="T271" s="30" t="n">
        <v>757.2</v>
      </c>
      <c r="U271" s="30" t="n">
        <v>548</v>
      </c>
      <c r="V271" s="30" t="n">
        <v>209.2</v>
      </c>
      <c r="W271" s="30" t="s">
        <v>53</v>
      </c>
      <c r="X271" s="30" t="s">
        <v>53</v>
      </c>
      <c r="Y271" s="30" t="s">
        <v>53</v>
      </c>
      <c r="Z271" s="30" t="s">
        <v>53</v>
      </c>
      <c r="AA271" s="30" t="s">
        <v>53</v>
      </c>
      <c r="AB271" s="30" t="s">
        <v>53</v>
      </c>
      <c r="AC271" s="30" t="s">
        <v>53</v>
      </c>
      <c r="AD271" s="30" t="s">
        <v>53</v>
      </c>
      <c r="AE271" s="30" t="s">
        <v>54</v>
      </c>
      <c r="AF271" s="30" t="n">
        <v>0</v>
      </c>
      <c r="AG271" s="30" t="n">
        <v>0</v>
      </c>
      <c r="AH271" s="30" t="n">
        <v>1</v>
      </c>
      <c r="AI271" s="30" t="n">
        <v>0</v>
      </c>
      <c r="AJ271" s="30" t="n">
        <v>1</v>
      </c>
      <c r="AK271" s="30" t="n">
        <v>0</v>
      </c>
      <c r="AL271" s="26"/>
    </row>
    <row collapsed="false" customFormat="false" customHeight="false" hidden="false" ht="14.5" outlineLevel="0" r="272">
      <c r="A272" s="30" t="n">
        <v>263</v>
      </c>
      <c r="B272" s="30" t="s">
        <v>45</v>
      </c>
      <c r="C272" s="30" t="s">
        <v>59</v>
      </c>
      <c r="D272" s="30" t="s">
        <v>410</v>
      </c>
      <c r="E272" s="30" t="n">
        <v>5</v>
      </c>
      <c r="F272" s="30" t="s">
        <v>67</v>
      </c>
      <c r="G272" s="30"/>
      <c r="H272" s="30" t="s">
        <v>412</v>
      </c>
      <c r="I272" s="30" t="s">
        <v>56</v>
      </c>
      <c r="J272" s="30"/>
      <c r="K272" s="30" t="s">
        <v>64</v>
      </c>
      <c r="L272" s="30"/>
      <c r="M272" s="30" t="n">
        <v>1972</v>
      </c>
      <c r="N272" s="30" t="s">
        <v>58</v>
      </c>
      <c r="O272" s="30" t="n">
        <v>3</v>
      </c>
      <c r="P272" s="30" t="n">
        <v>0</v>
      </c>
      <c r="Q272" s="30" t="n">
        <v>3</v>
      </c>
      <c r="R272" s="30" t="n">
        <v>27</v>
      </c>
      <c r="S272" s="30" t="n">
        <v>1451</v>
      </c>
      <c r="T272" s="30" t="n">
        <v>1451</v>
      </c>
      <c r="U272" s="30" t="n">
        <v>1451</v>
      </c>
      <c r="V272" s="30"/>
      <c r="W272" s="30" t="s">
        <v>53</v>
      </c>
      <c r="X272" s="30" t="s">
        <v>53</v>
      </c>
      <c r="Y272" s="30" t="s">
        <v>53</v>
      </c>
      <c r="Z272" s="30" t="s">
        <v>53</v>
      </c>
      <c r="AA272" s="30" t="s">
        <v>53</v>
      </c>
      <c r="AB272" s="30" t="s">
        <v>53</v>
      </c>
      <c r="AC272" s="30" t="s">
        <v>53</v>
      </c>
      <c r="AD272" s="30" t="s">
        <v>53</v>
      </c>
      <c r="AE272" s="30" t="s">
        <v>54</v>
      </c>
      <c r="AF272" s="30" t="n">
        <v>0</v>
      </c>
      <c r="AG272" s="30" t="n">
        <v>0</v>
      </c>
      <c r="AH272" s="30" t="n">
        <v>1</v>
      </c>
      <c r="AI272" s="30" t="n">
        <v>0</v>
      </c>
      <c r="AJ272" s="30" t="n">
        <v>1</v>
      </c>
      <c r="AK272" s="30" t="n">
        <v>0</v>
      </c>
      <c r="AL272" s="26"/>
    </row>
    <row collapsed="false" customFormat="false" customHeight="false" hidden="false" ht="14.5" outlineLevel="0" r="273">
      <c r="A273" s="30" t="n">
        <v>264</v>
      </c>
      <c r="B273" s="30" t="s">
        <v>45</v>
      </c>
      <c r="C273" s="30" t="s">
        <v>59</v>
      </c>
      <c r="D273" s="30" t="s">
        <v>410</v>
      </c>
      <c r="E273" s="30" t="n">
        <v>7</v>
      </c>
      <c r="F273" s="30"/>
      <c r="G273" s="30"/>
      <c r="H273" s="30" t="s">
        <v>413</v>
      </c>
      <c r="I273" s="30" t="s">
        <v>56</v>
      </c>
      <c r="J273" s="30"/>
      <c r="K273" s="30" t="s">
        <v>64</v>
      </c>
      <c r="L273" s="30" t="s">
        <v>57</v>
      </c>
      <c r="M273" s="30" t="n">
        <v>1959</v>
      </c>
      <c r="N273" s="30" t="s">
        <v>58</v>
      </c>
      <c r="O273" s="30" t="n">
        <v>3</v>
      </c>
      <c r="P273" s="30" t="n">
        <v>0</v>
      </c>
      <c r="Q273" s="30" t="n">
        <v>3</v>
      </c>
      <c r="R273" s="30" t="n">
        <v>28</v>
      </c>
      <c r="S273" s="30" t="n">
        <v>1486</v>
      </c>
      <c r="T273" s="30" t="n">
        <v>1486</v>
      </c>
      <c r="U273" s="30" t="n">
        <v>1486</v>
      </c>
      <c r="V273" s="30"/>
      <c r="W273" s="30" t="s">
        <v>53</v>
      </c>
      <c r="X273" s="30" t="s">
        <v>53</v>
      </c>
      <c r="Y273" s="30" t="s">
        <v>53</v>
      </c>
      <c r="Z273" s="30" t="s">
        <v>53</v>
      </c>
      <c r="AA273" s="30" t="s">
        <v>53</v>
      </c>
      <c r="AB273" s="30" t="s">
        <v>53</v>
      </c>
      <c r="AC273" s="30" t="s">
        <v>53</v>
      </c>
      <c r="AD273" s="30" t="s">
        <v>53</v>
      </c>
      <c r="AE273" s="30" t="s">
        <v>54</v>
      </c>
      <c r="AF273" s="30" t="n">
        <v>0</v>
      </c>
      <c r="AG273" s="30" t="n">
        <v>0</v>
      </c>
      <c r="AH273" s="30" t="n">
        <v>0</v>
      </c>
      <c r="AI273" s="30" t="n">
        <v>0</v>
      </c>
      <c r="AJ273" s="30" t="n">
        <v>1</v>
      </c>
      <c r="AK273" s="30" t="n">
        <v>0</v>
      </c>
      <c r="AL273" s="26"/>
    </row>
    <row collapsed="false" customFormat="false" customHeight="false" hidden="false" ht="14.5" outlineLevel="0" r="274">
      <c r="A274" s="30" t="n">
        <v>265</v>
      </c>
      <c r="B274" s="30" t="s">
        <v>45</v>
      </c>
      <c r="C274" s="30" t="s">
        <v>59</v>
      </c>
      <c r="D274" s="30" t="s">
        <v>410</v>
      </c>
      <c r="E274" s="30" t="n">
        <v>9</v>
      </c>
      <c r="F274" s="30"/>
      <c r="G274" s="30"/>
      <c r="H274" s="30" t="s">
        <v>414</v>
      </c>
      <c r="I274" s="30" t="s">
        <v>56</v>
      </c>
      <c r="J274" s="30"/>
      <c r="K274" s="30" t="s">
        <v>64</v>
      </c>
      <c r="L274" s="30" t="s">
        <v>57</v>
      </c>
      <c r="M274" s="30" t="n">
        <v>1958</v>
      </c>
      <c r="N274" s="30" t="s">
        <v>58</v>
      </c>
      <c r="O274" s="30" t="n">
        <v>3</v>
      </c>
      <c r="P274" s="30" t="n">
        <v>0</v>
      </c>
      <c r="Q274" s="30" t="n">
        <v>3</v>
      </c>
      <c r="R274" s="30" t="n">
        <v>27</v>
      </c>
      <c r="S274" s="30" t="n">
        <v>1471</v>
      </c>
      <c r="T274" s="30" t="n">
        <v>1471</v>
      </c>
      <c r="U274" s="30" t="n">
        <v>1471</v>
      </c>
      <c r="V274" s="30"/>
      <c r="W274" s="30" t="s">
        <v>53</v>
      </c>
      <c r="X274" s="30" t="s">
        <v>53</v>
      </c>
      <c r="Y274" s="30" t="s">
        <v>53</v>
      </c>
      <c r="Z274" s="30" t="s">
        <v>53</v>
      </c>
      <c r="AA274" s="30" t="s">
        <v>53</v>
      </c>
      <c r="AB274" s="30" t="s">
        <v>53</v>
      </c>
      <c r="AC274" s="30" t="s">
        <v>53</v>
      </c>
      <c r="AD274" s="30" t="s">
        <v>53</v>
      </c>
      <c r="AE274" s="30" t="s">
        <v>54</v>
      </c>
      <c r="AF274" s="30" t="n">
        <v>0</v>
      </c>
      <c r="AG274" s="30" t="n">
        <v>0</v>
      </c>
      <c r="AH274" s="30" t="n">
        <v>1</v>
      </c>
      <c r="AI274" s="30" t="n">
        <v>0</v>
      </c>
      <c r="AJ274" s="30" t="n">
        <v>0</v>
      </c>
      <c r="AK274" s="30" t="n">
        <v>0</v>
      </c>
      <c r="AL274" s="26"/>
    </row>
    <row collapsed="false" customFormat="false" customHeight="false" hidden="false" ht="14.5" outlineLevel="0" r="275">
      <c r="A275" s="30" t="n">
        <v>266</v>
      </c>
      <c r="B275" s="30" t="s">
        <v>45</v>
      </c>
      <c r="C275" s="30" t="s">
        <v>46</v>
      </c>
      <c r="D275" s="30" t="s">
        <v>410</v>
      </c>
      <c r="E275" s="30" t="s">
        <v>415</v>
      </c>
      <c r="F275" s="30"/>
      <c r="G275" s="30"/>
      <c r="H275" s="30" t="s">
        <v>416</v>
      </c>
      <c r="I275" s="30" t="s">
        <v>56</v>
      </c>
      <c r="J275" s="30" t="s">
        <v>86</v>
      </c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26"/>
    </row>
    <row collapsed="false" customFormat="false" customHeight="false" hidden="false" ht="14.5" outlineLevel="0" r="276">
      <c r="A276" s="30" t="n">
        <v>267</v>
      </c>
      <c r="B276" s="30" t="s">
        <v>45</v>
      </c>
      <c r="C276" s="30" t="s">
        <v>59</v>
      </c>
      <c r="D276" s="30" t="s">
        <v>410</v>
      </c>
      <c r="E276" s="30" t="n">
        <v>15</v>
      </c>
      <c r="F276" s="30"/>
      <c r="G276" s="30"/>
      <c r="H276" s="30" t="s">
        <v>417</v>
      </c>
      <c r="I276" s="30" t="s">
        <v>56</v>
      </c>
      <c r="J276" s="30"/>
      <c r="K276" s="30" t="s">
        <v>81</v>
      </c>
      <c r="L276" s="30" t="s">
        <v>51</v>
      </c>
      <c r="M276" s="30" t="n">
        <v>1934</v>
      </c>
      <c r="N276" s="30" t="s">
        <v>58</v>
      </c>
      <c r="O276" s="30" t="n">
        <v>3</v>
      </c>
      <c r="P276" s="30" t="n">
        <v>0</v>
      </c>
      <c r="Q276" s="30" t="n">
        <v>2</v>
      </c>
      <c r="R276" s="30" t="n">
        <v>20</v>
      </c>
      <c r="S276" s="30" t="n">
        <v>948</v>
      </c>
      <c r="T276" s="30" t="n">
        <v>948</v>
      </c>
      <c r="U276" s="30" t="n">
        <v>948</v>
      </c>
      <c r="V276" s="30"/>
      <c r="W276" s="30" t="s">
        <v>53</v>
      </c>
      <c r="X276" s="30" t="s">
        <v>53</v>
      </c>
      <c r="Y276" s="30" t="s">
        <v>53</v>
      </c>
      <c r="Z276" s="30" t="s">
        <v>53</v>
      </c>
      <c r="AA276" s="30" t="s">
        <v>53</v>
      </c>
      <c r="AB276" s="30" t="s">
        <v>53</v>
      </c>
      <c r="AC276" s="30" t="s">
        <v>53</v>
      </c>
      <c r="AD276" s="30" t="s">
        <v>53</v>
      </c>
      <c r="AE276" s="30" t="s">
        <v>54</v>
      </c>
      <c r="AF276" s="30" t="n">
        <v>0</v>
      </c>
      <c r="AG276" s="30" t="n">
        <v>1</v>
      </c>
      <c r="AH276" s="30" t="n">
        <v>1</v>
      </c>
      <c r="AI276" s="30" t="n">
        <v>0</v>
      </c>
      <c r="AJ276" s="30" t="n">
        <v>1</v>
      </c>
      <c r="AK276" s="30" t="n">
        <v>0</v>
      </c>
      <c r="AL276" s="26"/>
    </row>
    <row collapsed="false" customFormat="false" customHeight="false" hidden="false" ht="14.5" outlineLevel="0" r="277">
      <c r="A277" s="30" t="n">
        <v>268</v>
      </c>
      <c r="B277" s="30" t="s">
        <v>45</v>
      </c>
      <c r="C277" s="30" t="s">
        <v>46</v>
      </c>
      <c r="D277" s="30" t="s">
        <v>410</v>
      </c>
      <c r="E277" s="30" t="n">
        <v>18</v>
      </c>
      <c r="F277" s="30" t="s">
        <v>67</v>
      </c>
      <c r="G277" s="30"/>
      <c r="H277" s="30" t="s">
        <v>418</v>
      </c>
      <c r="I277" s="30" t="s">
        <v>56</v>
      </c>
      <c r="J277" s="30"/>
      <c r="K277" s="30" t="s">
        <v>64</v>
      </c>
      <c r="L277" s="30" t="s">
        <v>65</v>
      </c>
      <c r="M277" s="30" t="n">
        <v>1966</v>
      </c>
      <c r="N277" s="30" t="s">
        <v>58</v>
      </c>
      <c r="O277" s="30" t="n">
        <v>5</v>
      </c>
      <c r="P277" s="30" t="n">
        <v>0</v>
      </c>
      <c r="Q277" s="30" t="n">
        <v>7</v>
      </c>
      <c r="R277" s="30" t="n">
        <v>133</v>
      </c>
      <c r="S277" s="30" t="n">
        <v>5718.8</v>
      </c>
      <c r="T277" s="30" t="n">
        <v>5718.8</v>
      </c>
      <c r="U277" s="30" t="n">
        <v>5718.8</v>
      </c>
      <c r="V277" s="30"/>
      <c r="W277" s="30" t="s">
        <v>53</v>
      </c>
      <c r="X277" s="30" t="s">
        <v>53</v>
      </c>
      <c r="Y277" s="30" t="s">
        <v>53</v>
      </c>
      <c r="Z277" s="30" t="s">
        <v>53</v>
      </c>
      <c r="AA277" s="30" t="s">
        <v>53</v>
      </c>
      <c r="AB277" s="30" t="s">
        <v>53</v>
      </c>
      <c r="AC277" s="30" t="s">
        <v>54</v>
      </c>
      <c r="AD277" s="30" t="s">
        <v>53</v>
      </c>
      <c r="AE277" s="30" t="s">
        <v>54</v>
      </c>
      <c r="AF277" s="30" t="n">
        <v>0</v>
      </c>
      <c r="AG277" s="30" t="n">
        <v>1</v>
      </c>
      <c r="AH277" s="30" t="n">
        <v>1</v>
      </c>
      <c r="AI277" s="30" t="n">
        <v>1</v>
      </c>
      <c r="AJ277" s="30" t="n">
        <v>1</v>
      </c>
      <c r="AK277" s="30" t="n">
        <v>0</v>
      </c>
      <c r="AL277" s="26"/>
    </row>
    <row collapsed="false" customFormat="false" customHeight="false" hidden="false" ht="14.5" outlineLevel="0" r="278">
      <c r="A278" s="30" t="n">
        <v>269</v>
      </c>
      <c r="B278" s="30" t="s">
        <v>45</v>
      </c>
      <c r="C278" s="30" t="s">
        <v>46</v>
      </c>
      <c r="D278" s="30" t="s">
        <v>410</v>
      </c>
      <c r="E278" s="30" t="s">
        <v>419</v>
      </c>
      <c r="F278" s="30"/>
      <c r="G278" s="30"/>
      <c r="H278" s="30" t="s">
        <v>420</v>
      </c>
      <c r="I278" s="30" t="s">
        <v>56</v>
      </c>
      <c r="J278" s="30"/>
      <c r="K278" s="30" t="s">
        <v>64</v>
      </c>
      <c r="L278" s="30" t="s">
        <v>51</v>
      </c>
      <c r="M278" s="30" t="n">
        <v>1958</v>
      </c>
      <c r="N278" s="30" t="s">
        <v>58</v>
      </c>
      <c r="O278" s="30" t="n">
        <v>3</v>
      </c>
      <c r="P278" s="30" t="n">
        <v>0</v>
      </c>
      <c r="Q278" s="30" t="n">
        <v>4</v>
      </c>
      <c r="R278" s="30" t="n">
        <v>16</v>
      </c>
      <c r="S278" s="30" t="n">
        <v>1569.7</v>
      </c>
      <c r="T278" s="30" t="n">
        <v>1569.7</v>
      </c>
      <c r="U278" s="30" t="n">
        <v>1039.6</v>
      </c>
      <c r="V278" s="30" t="n">
        <v>530.1</v>
      </c>
      <c r="W278" s="30" t="s">
        <v>53</v>
      </c>
      <c r="X278" s="30" t="s">
        <v>53</v>
      </c>
      <c r="Y278" s="30" t="s">
        <v>54</v>
      </c>
      <c r="Z278" s="30" t="s">
        <v>53</v>
      </c>
      <c r="AA278" s="30" t="s">
        <v>53</v>
      </c>
      <c r="AB278" s="30" t="s">
        <v>53</v>
      </c>
      <c r="AC278" s="30" t="s">
        <v>53</v>
      </c>
      <c r="AD278" s="30" t="s">
        <v>53</v>
      </c>
      <c r="AE278" s="30" t="s">
        <v>54</v>
      </c>
      <c r="AF278" s="30" t="n">
        <v>0</v>
      </c>
      <c r="AG278" s="30" t="n">
        <v>0</v>
      </c>
      <c r="AH278" s="30" t="n">
        <v>1</v>
      </c>
      <c r="AI278" s="30" t="n">
        <v>0</v>
      </c>
      <c r="AJ278" s="30" t="n">
        <v>0</v>
      </c>
      <c r="AK278" s="30" t="n">
        <v>0</v>
      </c>
      <c r="AL278" s="26"/>
    </row>
    <row collapsed="false" customFormat="true" customHeight="false" hidden="false" ht="14.5" outlineLevel="0" r="279" s="2">
      <c r="A279" s="30" t="n">
        <v>270</v>
      </c>
      <c r="B279" s="30" t="s">
        <v>45</v>
      </c>
      <c r="C279" s="30" t="s">
        <v>46</v>
      </c>
      <c r="D279" s="30" t="s">
        <v>421</v>
      </c>
      <c r="E279" s="30" t="n">
        <v>84</v>
      </c>
      <c r="F279" s="30" t="s">
        <v>67</v>
      </c>
      <c r="G279" s="30"/>
      <c r="H279" s="30" t="s">
        <v>422</v>
      </c>
      <c r="I279" s="30" t="s">
        <v>56</v>
      </c>
      <c r="J279" s="30"/>
      <c r="K279" s="30" t="s">
        <v>64</v>
      </c>
      <c r="L279" s="30" t="s">
        <v>51</v>
      </c>
      <c r="M279" s="30" t="n">
        <v>1962</v>
      </c>
      <c r="N279" s="30" t="s">
        <v>58</v>
      </c>
      <c r="O279" s="30" t="n">
        <v>2</v>
      </c>
      <c r="P279" s="30" t="n">
        <v>0</v>
      </c>
      <c r="Q279" s="30" t="n">
        <v>2</v>
      </c>
      <c r="R279" s="30" t="n">
        <v>16</v>
      </c>
      <c r="S279" s="30" t="n">
        <v>640.3</v>
      </c>
      <c r="T279" s="30" t="n">
        <v>640.3</v>
      </c>
      <c r="U279" s="30" t="n">
        <v>640.3</v>
      </c>
      <c r="V279" s="30"/>
      <c r="W279" s="30" t="s">
        <v>53</v>
      </c>
      <c r="X279" s="30" t="s">
        <v>53</v>
      </c>
      <c r="Y279" s="30" t="s">
        <v>54</v>
      </c>
      <c r="Z279" s="30" t="s">
        <v>53</v>
      </c>
      <c r="AA279" s="30" t="s">
        <v>53</v>
      </c>
      <c r="AB279" s="30" t="s">
        <v>53</v>
      </c>
      <c r="AC279" s="30" t="s">
        <v>53</v>
      </c>
      <c r="AD279" s="30" t="s">
        <v>53</v>
      </c>
      <c r="AE279" s="30" t="s">
        <v>54</v>
      </c>
      <c r="AF279" s="30" t="n">
        <v>0</v>
      </c>
      <c r="AG279" s="30" t="n">
        <v>0</v>
      </c>
      <c r="AH279" s="30" t="n">
        <v>1</v>
      </c>
      <c r="AI279" s="30" t="n">
        <v>0</v>
      </c>
      <c r="AJ279" s="30" t="n">
        <v>1</v>
      </c>
      <c r="AK279" s="30" t="n">
        <v>0</v>
      </c>
      <c r="AL279" s="31"/>
    </row>
    <row collapsed="false" customFormat="true" customHeight="false" hidden="false" ht="14.5" outlineLevel="0" r="280" s="2">
      <c r="A280" s="30" t="n">
        <v>271</v>
      </c>
      <c r="B280" s="30" t="s">
        <v>45</v>
      </c>
      <c r="C280" s="30" t="s">
        <v>46</v>
      </c>
      <c r="D280" s="30" t="s">
        <v>421</v>
      </c>
      <c r="E280" s="30" t="n">
        <v>86</v>
      </c>
      <c r="F280" s="30" t="s">
        <v>67</v>
      </c>
      <c r="G280" s="30"/>
      <c r="H280" s="30" t="s">
        <v>423</v>
      </c>
      <c r="I280" s="30" t="s">
        <v>56</v>
      </c>
      <c r="J280" s="30"/>
      <c r="K280" s="30" t="s">
        <v>64</v>
      </c>
      <c r="L280" s="30" t="s">
        <v>51</v>
      </c>
      <c r="M280" s="30" t="n">
        <v>1961</v>
      </c>
      <c r="N280" s="30" t="s">
        <v>58</v>
      </c>
      <c r="O280" s="30" t="n">
        <v>2</v>
      </c>
      <c r="P280" s="30" t="n">
        <v>0</v>
      </c>
      <c r="Q280" s="30" t="n">
        <v>2</v>
      </c>
      <c r="R280" s="30" t="n">
        <v>16</v>
      </c>
      <c r="S280" s="30" t="n">
        <v>638.8</v>
      </c>
      <c r="T280" s="30" t="n">
        <v>638.8</v>
      </c>
      <c r="U280" s="30" t="n">
        <v>638.8</v>
      </c>
      <c r="V280" s="30"/>
      <c r="W280" s="30" t="s">
        <v>53</v>
      </c>
      <c r="X280" s="30" t="s">
        <v>53</v>
      </c>
      <c r="Y280" s="30" t="s">
        <v>54</v>
      </c>
      <c r="Z280" s="30" t="s">
        <v>53</v>
      </c>
      <c r="AA280" s="30" t="s">
        <v>53</v>
      </c>
      <c r="AB280" s="30" t="s">
        <v>53</v>
      </c>
      <c r="AC280" s="30" t="s">
        <v>53</v>
      </c>
      <c r="AD280" s="30" t="s">
        <v>53</v>
      </c>
      <c r="AE280" s="30" t="s">
        <v>54</v>
      </c>
      <c r="AF280" s="30" t="n">
        <v>0</v>
      </c>
      <c r="AG280" s="30" t="n">
        <v>0</v>
      </c>
      <c r="AH280" s="30" t="n">
        <v>1</v>
      </c>
      <c r="AI280" s="30" t="n">
        <v>0</v>
      </c>
      <c r="AJ280" s="30" t="n">
        <v>1</v>
      </c>
      <c r="AK280" s="30" t="n">
        <v>0</v>
      </c>
      <c r="AL280" s="31"/>
    </row>
    <row collapsed="false" customFormat="false" customHeight="false" hidden="false" ht="14.5" outlineLevel="0" r="281">
      <c r="A281" s="30" t="n">
        <v>272</v>
      </c>
      <c r="B281" s="30" t="s">
        <v>45</v>
      </c>
      <c r="C281" s="30" t="s">
        <v>210</v>
      </c>
      <c r="D281" s="30" t="s">
        <v>424</v>
      </c>
      <c r="E281" s="30" t="n">
        <v>17</v>
      </c>
      <c r="F281" s="30" t="s">
        <v>67</v>
      </c>
      <c r="G281" s="30"/>
      <c r="H281" s="30" t="s">
        <v>425</v>
      </c>
      <c r="I281" s="30" t="s">
        <v>56</v>
      </c>
      <c r="J281" s="30"/>
      <c r="K281" s="30"/>
      <c r="L281" s="30"/>
      <c r="M281" s="30"/>
      <c r="N281" s="30"/>
      <c r="O281" s="30"/>
      <c r="P281" s="30"/>
      <c r="Q281" s="30"/>
      <c r="R281" s="30"/>
      <c r="S281" s="30" t="n">
        <v>278.9</v>
      </c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26"/>
    </row>
    <row collapsed="false" customFormat="false" customHeight="false" hidden="false" ht="14.5" outlineLevel="0" r="282">
      <c r="A282" s="30" t="n">
        <v>273</v>
      </c>
      <c r="B282" s="30" t="s">
        <v>45</v>
      </c>
      <c r="C282" s="30" t="s">
        <v>210</v>
      </c>
      <c r="D282" s="30" t="s">
        <v>424</v>
      </c>
      <c r="E282" s="30" t="n">
        <v>17</v>
      </c>
      <c r="F282" s="30" t="s">
        <v>69</v>
      </c>
      <c r="G282" s="30"/>
      <c r="H282" s="30" t="s">
        <v>426</v>
      </c>
      <c r="I282" s="30" t="s">
        <v>56</v>
      </c>
      <c r="J282" s="30"/>
      <c r="K282" s="30"/>
      <c r="L282" s="30"/>
      <c r="M282" s="30"/>
      <c r="N282" s="30"/>
      <c r="O282" s="30"/>
      <c r="P282" s="30"/>
      <c r="Q282" s="30"/>
      <c r="R282" s="30"/>
      <c r="S282" s="30" t="n">
        <v>272.6</v>
      </c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26"/>
    </row>
    <row collapsed="false" customFormat="false" customHeight="false" hidden="false" ht="14.5" outlineLevel="0" r="283">
      <c r="A283" s="30" t="n">
        <v>274</v>
      </c>
      <c r="B283" s="30" t="s">
        <v>45</v>
      </c>
      <c r="C283" s="30" t="s">
        <v>46</v>
      </c>
      <c r="D283" s="30" t="s">
        <v>427</v>
      </c>
      <c r="E283" s="30" t="n">
        <v>1</v>
      </c>
      <c r="F283" s="30" t="n">
        <v>1</v>
      </c>
      <c r="G283" s="30"/>
      <c r="H283" s="30" t="s">
        <v>428</v>
      </c>
      <c r="I283" s="30" t="s">
        <v>56</v>
      </c>
      <c r="J283" s="30"/>
      <c r="K283" s="30" t="s">
        <v>138</v>
      </c>
      <c r="L283" s="30" t="s">
        <v>65</v>
      </c>
      <c r="M283" s="30" t="n">
        <v>1978</v>
      </c>
      <c r="N283" s="30" t="s">
        <v>108</v>
      </c>
      <c r="O283" s="30" t="n">
        <v>5</v>
      </c>
      <c r="P283" s="30" t="n">
        <v>0</v>
      </c>
      <c r="Q283" s="30" t="n">
        <v>4</v>
      </c>
      <c r="R283" s="30" t="n">
        <v>75</v>
      </c>
      <c r="S283" s="30" t="n">
        <v>3432.3</v>
      </c>
      <c r="T283" s="30" t="n">
        <v>3432.3</v>
      </c>
      <c r="U283" s="30" t="n">
        <v>3432.3</v>
      </c>
      <c r="V283" s="30"/>
      <c r="W283" s="30" t="s">
        <v>53</v>
      </c>
      <c r="X283" s="30" t="s">
        <v>53</v>
      </c>
      <c r="Y283" s="30" t="s">
        <v>53</v>
      </c>
      <c r="Z283" s="30" t="s">
        <v>53</v>
      </c>
      <c r="AA283" s="30" t="s">
        <v>53</v>
      </c>
      <c r="AB283" s="30" t="s">
        <v>53</v>
      </c>
      <c r="AC283" s="30" t="s">
        <v>54</v>
      </c>
      <c r="AD283" s="30" t="s">
        <v>53</v>
      </c>
      <c r="AE283" s="30" t="s">
        <v>54</v>
      </c>
      <c r="AF283" s="30" t="n">
        <v>0</v>
      </c>
      <c r="AG283" s="30" t="n">
        <v>0</v>
      </c>
      <c r="AH283" s="30" t="n">
        <v>1</v>
      </c>
      <c r="AI283" s="30" t="n">
        <v>1</v>
      </c>
      <c r="AJ283" s="30" t="n">
        <v>1</v>
      </c>
      <c r="AK283" s="30" t="n">
        <v>0</v>
      </c>
      <c r="AL283" s="26"/>
    </row>
    <row collapsed="false" customFormat="false" customHeight="false" hidden="false" ht="14.5" outlineLevel="0" r="284">
      <c r="A284" s="30" t="n">
        <v>275</v>
      </c>
      <c r="B284" s="30" t="s">
        <v>45</v>
      </c>
      <c r="C284" s="30" t="s">
        <v>46</v>
      </c>
      <c r="D284" s="30" t="s">
        <v>427</v>
      </c>
      <c r="E284" s="30" t="n">
        <v>1</v>
      </c>
      <c r="F284" s="30" t="n">
        <v>2</v>
      </c>
      <c r="G284" s="30"/>
      <c r="H284" s="30" t="s">
        <v>429</v>
      </c>
      <c r="I284" s="30" t="s">
        <v>56</v>
      </c>
      <c r="J284" s="30"/>
      <c r="K284" s="30" t="s">
        <v>138</v>
      </c>
      <c r="L284" s="30" t="s">
        <v>65</v>
      </c>
      <c r="M284" s="30" t="n">
        <v>1981</v>
      </c>
      <c r="N284" s="30" t="s">
        <v>108</v>
      </c>
      <c r="O284" s="30" t="n">
        <v>5</v>
      </c>
      <c r="P284" s="30" t="n">
        <v>0</v>
      </c>
      <c r="Q284" s="30" t="n">
        <v>4</v>
      </c>
      <c r="R284" s="30" t="n">
        <v>75</v>
      </c>
      <c r="S284" s="30" t="n">
        <v>3452.8</v>
      </c>
      <c r="T284" s="30" t="n">
        <v>3452.8</v>
      </c>
      <c r="U284" s="30" t="n">
        <v>3452.8</v>
      </c>
      <c r="V284" s="30"/>
      <c r="W284" s="30" t="s">
        <v>53</v>
      </c>
      <c r="X284" s="30" t="s">
        <v>53</v>
      </c>
      <c r="Y284" s="30" t="s">
        <v>53</v>
      </c>
      <c r="Z284" s="30" t="s">
        <v>53</v>
      </c>
      <c r="AA284" s="30" t="s">
        <v>53</v>
      </c>
      <c r="AB284" s="30" t="s">
        <v>53</v>
      </c>
      <c r="AC284" s="30" t="s">
        <v>54</v>
      </c>
      <c r="AD284" s="30" t="s">
        <v>53</v>
      </c>
      <c r="AE284" s="30" t="s">
        <v>54</v>
      </c>
      <c r="AF284" s="30" t="n">
        <v>0</v>
      </c>
      <c r="AG284" s="30" t="n">
        <v>0</v>
      </c>
      <c r="AH284" s="30" t="n">
        <v>1</v>
      </c>
      <c r="AI284" s="30" t="n">
        <v>1</v>
      </c>
      <c r="AJ284" s="30" t="n">
        <v>1</v>
      </c>
      <c r="AK284" s="30" t="n">
        <v>0</v>
      </c>
      <c r="AL284" s="26"/>
    </row>
    <row collapsed="false" customFormat="false" customHeight="false" hidden="false" ht="14.5" outlineLevel="0" r="285">
      <c r="A285" s="30" t="n">
        <v>276</v>
      </c>
      <c r="B285" s="30" t="s">
        <v>45</v>
      </c>
      <c r="C285" s="30" t="s">
        <v>59</v>
      </c>
      <c r="D285" s="30" t="s">
        <v>430</v>
      </c>
      <c r="E285" s="30" t="n">
        <v>2</v>
      </c>
      <c r="F285" s="30"/>
      <c r="G285" s="30"/>
      <c r="H285" s="30" t="s">
        <v>431</v>
      </c>
      <c r="I285" s="30" t="s">
        <v>56</v>
      </c>
      <c r="J285" s="30"/>
      <c r="K285" s="30" t="s">
        <v>64</v>
      </c>
      <c r="L285" s="30" t="s">
        <v>57</v>
      </c>
      <c r="M285" s="30" t="n">
        <v>1958</v>
      </c>
      <c r="N285" s="30" t="s">
        <v>58</v>
      </c>
      <c r="O285" s="30" t="n">
        <v>3</v>
      </c>
      <c r="P285" s="30" t="n">
        <v>0</v>
      </c>
      <c r="Q285" s="30" t="n">
        <v>2</v>
      </c>
      <c r="R285" s="30" t="n">
        <v>27</v>
      </c>
      <c r="S285" s="30" t="n">
        <v>1334</v>
      </c>
      <c r="T285" s="30" t="n">
        <v>1334</v>
      </c>
      <c r="U285" s="30" t="n">
        <v>1334</v>
      </c>
      <c r="V285" s="30"/>
      <c r="W285" s="30" t="s">
        <v>53</v>
      </c>
      <c r="X285" s="30" t="s">
        <v>53</v>
      </c>
      <c r="Y285" s="30" t="s">
        <v>53</v>
      </c>
      <c r="Z285" s="30" t="s">
        <v>53</v>
      </c>
      <c r="AA285" s="30" t="s">
        <v>53</v>
      </c>
      <c r="AB285" s="30" t="s">
        <v>53</v>
      </c>
      <c r="AC285" s="30" t="s">
        <v>53</v>
      </c>
      <c r="AD285" s="30" t="s">
        <v>53</v>
      </c>
      <c r="AE285" s="30" t="s">
        <v>54</v>
      </c>
      <c r="AF285" s="30" t="n">
        <v>0</v>
      </c>
      <c r="AG285" s="30" t="n">
        <v>0</v>
      </c>
      <c r="AH285" s="30" t="n">
        <v>2</v>
      </c>
      <c r="AI285" s="30" t="n">
        <v>0</v>
      </c>
      <c r="AJ285" s="30" t="n">
        <v>0</v>
      </c>
      <c r="AK285" s="30" t="n">
        <v>0</v>
      </c>
      <c r="AL285" s="26"/>
    </row>
    <row collapsed="false" customFormat="false" customHeight="false" hidden="false" ht="14.5" outlineLevel="0" r="286">
      <c r="A286" s="30" t="n">
        <v>277</v>
      </c>
      <c r="B286" s="30" t="s">
        <v>45</v>
      </c>
      <c r="C286" s="30" t="s">
        <v>59</v>
      </c>
      <c r="D286" s="30" t="s">
        <v>430</v>
      </c>
      <c r="E286" s="30" t="n">
        <v>3</v>
      </c>
      <c r="F286" s="30"/>
      <c r="G286" s="30"/>
      <c r="H286" s="30" t="s">
        <v>432</v>
      </c>
      <c r="I286" s="30" t="s">
        <v>56</v>
      </c>
      <c r="J286" s="30"/>
      <c r="K286" s="30" t="s">
        <v>64</v>
      </c>
      <c r="L286" s="30"/>
      <c r="M286" s="30" t="n">
        <v>1960</v>
      </c>
      <c r="N286" s="30" t="s">
        <v>58</v>
      </c>
      <c r="O286" s="30" t="n">
        <v>3</v>
      </c>
      <c r="P286" s="30" t="n">
        <v>0</v>
      </c>
      <c r="Q286" s="30" t="n">
        <v>2</v>
      </c>
      <c r="R286" s="30" t="n">
        <v>24</v>
      </c>
      <c r="S286" s="30" t="n">
        <v>948</v>
      </c>
      <c r="T286" s="30" t="n">
        <v>948</v>
      </c>
      <c r="U286" s="30" t="n">
        <v>948</v>
      </c>
      <c r="V286" s="30"/>
      <c r="W286" s="30" t="s">
        <v>53</v>
      </c>
      <c r="X286" s="30" t="s">
        <v>53</v>
      </c>
      <c r="Y286" s="30" t="s">
        <v>53</v>
      </c>
      <c r="Z286" s="30" t="s">
        <v>53</v>
      </c>
      <c r="AA286" s="30" t="s">
        <v>53</v>
      </c>
      <c r="AB286" s="30" t="s">
        <v>53</v>
      </c>
      <c r="AC286" s="30" t="s">
        <v>53</v>
      </c>
      <c r="AD286" s="30" t="s">
        <v>53</v>
      </c>
      <c r="AE286" s="30" t="s">
        <v>54</v>
      </c>
      <c r="AF286" s="30" t="n">
        <v>0</v>
      </c>
      <c r="AG286" s="30" t="n">
        <v>0</v>
      </c>
      <c r="AH286" s="30" t="n">
        <v>0</v>
      </c>
      <c r="AI286" s="30" t="n">
        <v>0</v>
      </c>
      <c r="AJ286" s="30" t="n">
        <v>1</v>
      </c>
      <c r="AK286" s="30" t="n">
        <v>0</v>
      </c>
      <c r="AL286" s="26"/>
    </row>
    <row collapsed="false" customFormat="false" customHeight="false" hidden="false" ht="14.5" outlineLevel="0" r="287">
      <c r="A287" s="30" t="n">
        <v>278</v>
      </c>
      <c r="B287" s="30" t="s">
        <v>45</v>
      </c>
      <c r="C287" s="30" t="s">
        <v>59</v>
      </c>
      <c r="D287" s="30" t="s">
        <v>430</v>
      </c>
      <c r="E287" s="30" t="n">
        <v>4</v>
      </c>
      <c r="F287" s="30"/>
      <c r="G287" s="30"/>
      <c r="H287" s="30" t="s">
        <v>433</v>
      </c>
      <c r="I287" s="30" t="s">
        <v>56</v>
      </c>
      <c r="J287" s="30"/>
      <c r="K287" s="30" t="s">
        <v>64</v>
      </c>
      <c r="L287" s="30" t="s">
        <v>57</v>
      </c>
      <c r="M287" s="30" t="n">
        <v>1959</v>
      </c>
      <c r="N287" s="30" t="s">
        <v>58</v>
      </c>
      <c r="O287" s="30" t="n">
        <v>2</v>
      </c>
      <c r="P287" s="30" t="n">
        <v>0</v>
      </c>
      <c r="Q287" s="30" t="n">
        <v>3</v>
      </c>
      <c r="R287" s="30" t="n">
        <v>36</v>
      </c>
      <c r="S287" s="30" t="n">
        <v>1491</v>
      </c>
      <c r="T287" s="30" t="n">
        <v>1491</v>
      </c>
      <c r="U287" s="30" t="n">
        <v>1491</v>
      </c>
      <c r="V287" s="30"/>
      <c r="W287" s="30" t="s">
        <v>53</v>
      </c>
      <c r="X287" s="30" t="s">
        <v>53</v>
      </c>
      <c r="Y287" s="30" t="s">
        <v>53</v>
      </c>
      <c r="Z287" s="30" t="s">
        <v>53</v>
      </c>
      <c r="AA287" s="30" t="s">
        <v>53</v>
      </c>
      <c r="AB287" s="30" t="s">
        <v>53</v>
      </c>
      <c r="AC287" s="30" t="s">
        <v>53</v>
      </c>
      <c r="AD287" s="30" t="s">
        <v>53</v>
      </c>
      <c r="AE287" s="30" t="s">
        <v>54</v>
      </c>
      <c r="AF287" s="30" t="n">
        <v>0</v>
      </c>
      <c r="AG287" s="30" t="n">
        <v>0</v>
      </c>
      <c r="AH287" s="30" t="n">
        <v>2</v>
      </c>
      <c r="AI287" s="30" t="n">
        <v>0</v>
      </c>
      <c r="AJ287" s="30" t="n">
        <v>0</v>
      </c>
      <c r="AK287" s="30" t="n">
        <v>0</v>
      </c>
      <c r="AL287" s="26"/>
    </row>
    <row collapsed="false" customFormat="false" customHeight="false" hidden="false" ht="14.5" outlineLevel="0" r="288">
      <c r="A288" s="30" t="n">
        <v>279</v>
      </c>
      <c r="B288" s="30" t="s">
        <v>45</v>
      </c>
      <c r="C288" s="30" t="s">
        <v>59</v>
      </c>
      <c r="D288" s="30" t="s">
        <v>430</v>
      </c>
      <c r="E288" s="30" t="n">
        <v>8</v>
      </c>
      <c r="F288" s="30"/>
      <c r="G288" s="30"/>
      <c r="H288" s="30" t="s">
        <v>434</v>
      </c>
      <c r="I288" s="30" t="s">
        <v>56</v>
      </c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 t="n">
        <v>196</v>
      </c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26"/>
    </row>
    <row collapsed="false" customFormat="false" customHeight="false" hidden="false" ht="14.5" outlineLevel="0" r="289">
      <c r="A289" s="30" t="n">
        <v>280</v>
      </c>
      <c r="B289" s="30" t="s">
        <v>45</v>
      </c>
      <c r="C289" s="30" t="s">
        <v>59</v>
      </c>
      <c r="D289" s="30" t="s">
        <v>430</v>
      </c>
      <c r="E289" s="30" t="n">
        <v>10</v>
      </c>
      <c r="F289" s="30"/>
      <c r="G289" s="30"/>
      <c r="H289" s="30" t="s">
        <v>435</v>
      </c>
      <c r="I289" s="30" t="s">
        <v>56</v>
      </c>
      <c r="J289" s="30"/>
      <c r="K289" s="30" t="s">
        <v>101</v>
      </c>
      <c r="L289" s="30" t="s">
        <v>51</v>
      </c>
      <c r="M289" s="30" t="n">
        <v>1980</v>
      </c>
      <c r="N289" s="30" t="s">
        <v>58</v>
      </c>
      <c r="O289" s="30" t="n">
        <v>4</v>
      </c>
      <c r="P289" s="30" t="n">
        <v>0</v>
      </c>
      <c r="Q289" s="30" t="n">
        <v>11</v>
      </c>
      <c r="R289" s="30" t="n">
        <v>110</v>
      </c>
      <c r="S289" s="30" t="n">
        <v>8560.7</v>
      </c>
      <c r="T289" s="30" t="n">
        <v>8560.7</v>
      </c>
      <c r="U289" s="30" t="n">
        <v>8115</v>
      </c>
      <c r="V289" s="30" t="n">
        <v>445.7</v>
      </c>
      <c r="W289" s="30" t="s">
        <v>53</v>
      </c>
      <c r="X289" s="30" t="s">
        <v>53</v>
      </c>
      <c r="Y289" s="30" t="s">
        <v>53</v>
      </c>
      <c r="Z289" s="30" t="s">
        <v>53</v>
      </c>
      <c r="AA289" s="30" t="s">
        <v>53</v>
      </c>
      <c r="AB289" s="30" t="s">
        <v>53</v>
      </c>
      <c r="AC289" s="30" t="s">
        <v>53</v>
      </c>
      <c r="AD289" s="30" t="s">
        <v>53</v>
      </c>
      <c r="AE289" s="30" t="s">
        <v>54</v>
      </c>
      <c r="AF289" s="30" t="n">
        <v>0</v>
      </c>
      <c r="AG289" s="30" t="n">
        <v>0</v>
      </c>
      <c r="AH289" s="30" t="n">
        <v>2</v>
      </c>
      <c r="AI289" s="30" t="n">
        <v>0</v>
      </c>
      <c r="AJ289" s="30" t="n">
        <v>2</v>
      </c>
      <c r="AK289" s="30" t="n">
        <v>0</v>
      </c>
      <c r="AL289" s="26"/>
    </row>
    <row collapsed="false" customFormat="false" customHeight="false" hidden="false" ht="14.5" outlineLevel="0" r="290">
      <c r="A290" s="30" t="n">
        <v>281</v>
      </c>
      <c r="B290" s="30" t="s">
        <v>45</v>
      </c>
      <c r="C290" s="30" t="s">
        <v>59</v>
      </c>
      <c r="D290" s="30" t="s">
        <v>436</v>
      </c>
      <c r="E290" s="30" t="n">
        <v>3</v>
      </c>
      <c r="F290" s="30"/>
      <c r="G290" s="30"/>
      <c r="H290" s="30" t="s">
        <v>437</v>
      </c>
      <c r="I290" s="30" t="s">
        <v>56</v>
      </c>
      <c r="J290" s="30"/>
      <c r="K290" s="30" t="s">
        <v>64</v>
      </c>
      <c r="L290" s="30"/>
      <c r="M290" s="30" t="n">
        <v>1961</v>
      </c>
      <c r="N290" s="30" t="s">
        <v>58</v>
      </c>
      <c r="O290" s="30" t="n">
        <v>3</v>
      </c>
      <c r="P290" s="30" t="n">
        <v>0</v>
      </c>
      <c r="Q290" s="30" t="n">
        <v>2</v>
      </c>
      <c r="R290" s="30" t="n">
        <v>24</v>
      </c>
      <c r="S290" s="30" t="n">
        <v>941</v>
      </c>
      <c r="T290" s="30" t="n">
        <v>941</v>
      </c>
      <c r="U290" s="30" t="n">
        <v>941</v>
      </c>
      <c r="V290" s="30"/>
      <c r="W290" s="30" t="s">
        <v>53</v>
      </c>
      <c r="X290" s="30" t="s">
        <v>53</v>
      </c>
      <c r="Y290" s="30" t="s">
        <v>53</v>
      </c>
      <c r="Z290" s="30" t="s">
        <v>53</v>
      </c>
      <c r="AA290" s="30" t="s">
        <v>53</v>
      </c>
      <c r="AB290" s="30" t="s">
        <v>53</v>
      </c>
      <c r="AC290" s="30" t="s">
        <v>53</v>
      </c>
      <c r="AD290" s="30" t="s">
        <v>53</v>
      </c>
      <c r="AE290" s="30" t="s">
        <v>54</v>
      </c>
      <c r="AF290" s="30" t="n">
        <v>0</v>
      </c>
      <c r="AG290" s="30" t="n">
        <v>0</v>
      </c>
      <c r="AH290" s="30" t="n">
        <v>0</v>
      </c>
      <c r="AI290" s="30" t="n">
        <v>0</v>
      </c>
      <c r="AJ290" s="30" t="n">
        <v>0</v>
      </c>
      <c r="AK290" s="30" t="n">
        <v>0</v>
      </c>
      <c r="AL290" s="26"/>
    </row>
    <row collapsed="false" customFormat="false" customHeight="false" hidden="false" ht="14.5" outlineLevel="0" r="291">
      <c r="A291" s="30" t="n">
        <v>282</v>
      </c>
      <c r="B291" s="30" t="s">
        <v>45</v>
      </c>
      <c r="C291" s="30" t="s">
        <v>59</v>
      </c>
      <c r="D291" s="30" t="s">
        <v>436</v>
      </c>
      <c r="E291" s="30" t="n">
        <v>5</v>
      </c>
      <c r="F291" s="30"/>
      <c r="G291" s="30"/>
      <c r="H291" s="30" t="s">
        <v>438</v>
      </c>
      <c r="I291" s="30" t="s">
        <v>56</v>
      </c>
      <c r="J291" s="30"/>
      <c r="K291" s="30" t="s">
        <v>64</v>
      </c>
      <c r="L291" s="30"/>
      <c r="M291" s="30" t="n">
        <v>1960</v>
      </c>
      <c r="N291" s="30" t="s">
        <v>58</v>
      </c>
      <c r="O291" s="30" t="n">
        <v>3</v>
      </c>
      <c r="P291" s="30" t="n">
        <v>0</v>
      </c>
      <c r="Q291" s="30" t="n">
        <v>3</v>
      </c>
      <c r="R291" s="30" t="n">
        <v>27</v>
      </c>
      <c r="S291" s="30" t="n">
        <v>1425</v>
      </c>
      <c r="T291" s="30" t="n">
        <v>1425</v>
      </c>
      <c r="U291" s="30" t="n">
        <v>1425</v>
      </c>
      <c r="V291" s="30"/>
      <c r="W291" s="30" t="s">
        <v>53</v>
      </c>
      <c r="X291" s="30" t="s">
        <v>53</v>
      </c>
      <c r="Y291" s="30" t="s">
        <v>53</v>
      </c>
      <c r="Z291" s="30" t="s">
        <v>53</v>
      </c>
      <c r="AA291" s="30" t="s">
        <v>53</v>
      </c>
      <c r="AB291" s="30" t="s">
        <v>53</v>
      </c>
      <c r="AC291" s="30" t="s">
        <v>53</v>
      </c>
      <c r="AD291" s="30" t="s">
        <v>53</v>
      </c>
      <c r="AE291" s="30" t="s">
        <v>54</v>
      </c>
      <c r="AF291" s="30" t="n">
        <v>0</v>
      </c>
      <c r="AG291" s="30" t="n">
        <v>0</v>
      </c>
      <c r="AH291" s="30" t="n">
        <v>1</v>
      </c>
      <c r="AI291" s="30" t="n">
        <v>0</v>
      </c>
      <c r="AJ291" s="30" t="n">
        <v>1</v>
      </c>
      <c r="AK291" s="30" t="n">
        <v>0</v>
      </c>
      <c r="AL291" s="26"/>
    </row>
    <row collapsed="false" customFormat="false" customHeight="false" hidden="false" ht="14.5" outlineLevel="0" r="292">
      <c r="A292" s="30" t="n">
        <v>283</v>
      </c>
      <c r="B292" s="30" t="s">
        <v>45</v>
      </c>
      <c r="C292" s="30" t="s">
        <v>59</v>
      </c>
      <c r="D292" s="30" t="s">
        <v>436</v>
      </c>
      <c r="E292" s="30" t="n">
        <v>7</v>
      </c>
      <c r="F292" s="30"/>
      <c r="G292" s="30"/>
      <c r="H292" s="30" t="s">
        <v>439</v>
      </c>
      <c r="I292" s="30" t="s">
        <v>56</v>
      </c>
      <c r="J292" s="30"/>
      <c r="K292" s="30" t="s">
        <v>64</v>
      </c>
      <c r="L292" s="30"/>
      <c r="M292" s="30" t="n">
        <v>1961</v>
      </c>
      <c r="N292" s="30" t="s">
        <v>58</v>
      </c>
      <c r="O292" s="30" t="n">
        <v>3</v>
      </c>
      <c r="P292" s="30" t="n">
        <v>0</v>
      </c>
      <c r="Q292" s="30" t="n">
        <v>2</v>
      </c>
      <c r="R292" s="30" t="n">
        <v>24</v>
      </c>
      <c r="S292" s="30" t="n">
        <v>948</v>
      </c>
      <c r="T292" s="30" t="n">
        <v>948</v>
      </c>
      <c r="U292" s="30" t="n">
        <v>948</v>
      </c>
      <c r="V292" s="30"/>
      <c r="W292" s="30" t="s">
        <v>53</v>
      </c>
      <c r="X292" s="30" t="s">
        <v>53</v>
      </c>
      <c r="Y292" s="30" t="s">
        <v>53</v>
      </c>
      <c r="Z292" s="30" t="s">
        <v>53</v>
      </c>
      <c r="AA292" s="30" t="s">
        <v>53</v>
      </c>
      <c r="AB292" s="30" t="s">
        <v>53</v>
      </c>
      <c r="AC292" s="30" t="s">
        <v>53</v>
      </c>
      <c r="AD292" s="30" t="s">
        <v>53</v>
      </c>
      <c r="AE292" s="30" t="s">
        <v>54</v>
      </c>
      <c r="AF292" s="30" t="n">
        <v>0</v>
      </c>
      <c r="AG292" s="30" t="n">
        <v>0</v>
      </c>
      <c r="AH292" s="30" t="n">
        <v>0</v>
      </c>
      <c r="AI292" s="30" t="n">
        <v>0</v>
      </c>
      <c r="AJ292" s="30" t="n">
        <v>0</v>
      </c>
      <c r="AK292" s="30" t="n">
        <v>0</v>
      </c>
      <c r="AL292" s="26"/>
    </row>
    <row collapsed="false" customFormat="false" customHeight="false" hidden="false" ht="14.5" outlineLevel="0" r="293">
      <c r="A293" s="30" t="n">
        <v>284</v>
      </c>
      <c r="B293" s="30" t="s">
        <v>45</v>
      </c>
      <c r="C293" s="30" t="s">
        <v>59</v>
      </c>
      <c r="D293" s="30" t="s">
        <v>436</v>
      </c>
      <c r="E293" s="30" t="n">
        <v>11</v>
      </c>
      <c r="F293" s="30"/>
      <c r="G293" s="30"/>
      <c r="H293" s="30" t="s">
        <v>440</v>
      </c>
      <c r="I293" s="30" t="s">
        <v>56</v>
      </c>
      <c r="J293" s="30"/>
      <c r="K293" s="30" t="s">
        <v>64</v>
      </c>
      <c r="L293" s="30"/>
      <c r="M293" s="30" t="n">
        <v>1962</v>
      </c>
      <c r="N293" s="30" t="s">
        <v>58</v>
      </c>
      <c r="O293" s="30" t="n">
        <v>3</v>
      </c>
      <c r="P293" s="30" t="n">
        <v>0</v>
      </c>
      <c r="Q293" s="30" t="n">
        <v>2</v>
      </c>
      <c r="R293" s="30" t="n">
        <v>24</v>
      </c>
      <c r="S293" s="30" t="n">
        <v>964</v>
      </c>
      <c r="T293" s="30" t="n">
        <v>964</v>
      </c>
      <c r="U293" s="30" t="n">
        <v>964</v>
      </c>
      <c r="V293" s="30"/>
      <c r="W293" s="30" t="s">
        <v>53</v>
      </c>
      <c r="X293" s="30" t="s">
        <v>53</v>
      </c>
      <c r="Y293" s="30" t="s">
        <v>53</v>
      </c>
      <c r="Z293" s="30" t="s">
        <v>53</v>
      </c>
      <c r="AA293" s="30" t="s">
        <v>53</v>
      </c>
      <c r="AB293" s="30" t="s">
        <v>53</v>
      </c>
      <c r="AC293" s="30" t="s">
        <v>53</v>
      </c>
      <c r="AD293" s="30" t="s">
        <v>53</v>
      </c>
      <c r="AE293" s="30" t="s">
        <v>54</v>
      </c>
      <c r="AF293" s="30" t="n">
        <v>0</v>
      </c>
      <c r="AG293" s="30" t="n">
        <v>0</v>
      </c>
      <c r="AH293" s="30" t="n">
        <v>0</v>
      </c>
      <c r="AI293" s="30" t="n">
        <v>0</v>
      </c>
      <c r="AJ293" s="30" t="n">
        <v>1</v>
      </c>
      <c r="AK293" s="30" t="n">
        <v>0</v>
      </c>
      <c r="AL293" s="26"/>
    </row>
    <row collapsed="false" customFormat="false" customHeight="false" hidden="false" ht="14.5" outlineLevel="0" r="294">
      <c r="A294" s="30" t="n">
        <v>285</v>
      </c>
      <c r="B294" s="30" t="s">
        <v>45</v>
      </c>
      <c r="C294" s="30" t="s">
        <v>59</v>
      </c>
      <c r="D294" s="30" t="s">
        <v>436</v>
      </c>
      <c r="E294" s="30" t="n">
        <v>13</v>
      </c>
      <c r="F294" s="30"/>
      <c r="G294" s="30"/>
      <c r="H294" s="30" t="s">
        <v>441</v>
      </c>
      <c r="I294" s="30" t="s">
        <v>56</v>
      </c>
      <c r="J294" s="30"/>
      <c r="K294" s="30" t="s">
        <v>64</v>
      </c>
      <c r="L294" s="30"/>
      <c r="M294" s="30" t="n">
        <v>1962</v>
      </c>
      <c r="N294" s="30" t="s">
        <v>58</v>
      </c>
      <c r="O294" s="30" t="n">
        <v>3</v>
      </c>
      <c r="P294" s="30" t="n">
        <v>0</v>
      </c>
      <c r="Q294" s="30" t="n">
        <v>3</v>
      </c>
      <c r="R294" s="30" t="n">
        <v>36</v>
      </c>
      <c r="S294" s="30" t="n">
        <v>1507</v>
      </c>
      <c r="T294" s="30" t="n">
        <v>1507</v>
      </c>
      <c r="U294" s="30" t="n">
        <v>1507</v>
      </c>
      <c r="V294" s="30"/>
      <c r="W294" s="30" t="s">
        <v>53</v>
      </c>
      <c r="X294" s="30" t="s">
        <v>53</v>
      </c>
      <c r="Y294" s="30" t="s">
        <v>53</v>
      </c>
      <c r="Z294" s="30" t="s">
        <v>53</v>
      </c>
      <c r="AA294" s="30" t="s">
        <v>53</v>
      </c>
      <c r="AB294" s="30" t="s">
        <v>53</v>
      </c>
      <c r="AC294" s="30" t="s">
        <v>53</v>
      </c>
      <c r="AD294" s="30" t="s">
        <v>53</v>
      </c>
      <c r="AE294" s="30" t="s">
        <v>54</v>
      </c>
      <c r="AF294" s="30" t="n">
        <v>0</v>
      </c>
      <c r="AG294" s="30" t="n">
        <v>0</v>
      </c>
      <c r="AH294" s="30" t="n">
        <v>1</v>
      </c>
      <c r="AI294" s="30" t="n">
        <v>0</v>
      </c>
      <c r="AJ294" s="30" t="n">
        <v>1</v>
      </c>
      <c r="AK294" s="30" t="n">
        <v>0</v>
      </c>
      <c r="AL294" s="26"/>
    </row>
    <row collapsed="false" customFormat="false" customHeight="false" hidden="false" ht="14.5" outlineLevel="0" r="295">
      <c r="A295" s="30" t="n">
        <v>286</v>
      </c>
      <c r="B295" s="30" t="s">
        <v>45</v>
      </c>
      <c r="C295" s="30" t="s">
        <v>59</v>
      </c>
      <c r="D295" s="30" t="s">
        <v>436</v>
      </c>
      <c r="E295" s="30" t="n">
        <v>15</v>
      </c>
      <c r="F295" s="30"/>
      <c r="G295" s="30"/>
      <c r="H295" s="30" t="s">
        <v>442</v>
      </c>
      <c r="I295" s="30" t="s">
        <v>56</v>
      </c>
      <c r="J295" s="30"/>
      <c r="K295" s="30" t="s">
        <v>64</v>
      </c>
      <c r="L295" s="30"/>
      <c r="M295" s="30" t="n">
        <v>1961</v>
      </c>
      <c r="N295" s="30" t="s">
        <v>58</v>
      </c>
      <c r="O295" s="30" t="n">
        <v>3</v>
      </c>
      <c r="P295" s="30" t="n">
        <v>0</v>
      </c>
      <c r="Q295" s="30" t="n">
        <v>3</v>
      </c>
      <c r="R295" s="30" t="n">
        <v>36</v>
      </c>
      <c r="S295" s="30" t="n">
        <v>1481</v>
      </c>
      <c r="T295" s="30" t="n">
        <v>1481</v>
      </c>
      <c r="U295" s="30" t="n">
        <v>1481</v>
      </c>
      <c r="V295" s="30"/>
      <c r="W295" s="30" t="s">
        <v>53</v>
      </c>
      <c r="X295" s="30" t="s">
        <v>53</v>
      </c>
      <c r="Y295" s="30" t="s">
        <v>53</v>
      </c>
      <c r="Z295" s="30" t="s">
        <v>53</v>
      </c>
      <c r="AA295" s="30" t="s">
        <v>53</v>
      </c>
      <c r="AB295" s="30" t="s">
        <v>53</v>
      </c>
      <c r="AC295" s="30" t="s">
        <v>53</v>
      </c>
      <c r="AD295" s="30" t="s">
        <v>53</v>
      </c>
      <c r="AE295" s="30" t="s">
        <v>54</v>
      </c>
      <c r="AF295" s="30" t="n">
        <v>0</v>
      </c>
      <c r="AG295" s="30" t="n">
        <v>1</v>
      </c>
      <c r="AH295" s="30" t="n">
        <v>1</v>
      </c>
      <c r="AI295" s="30" t="n">
        <v>0</v>
      </c>
      <c r="AJ295" s="30" t="n">
        <v>0</v>
      </c>
      <c r="AK295" s="30" t="n">
        <v>0</v>
      </c>
      <c r="AL295" s="26"/>
    </row>
    <row collapsed="false" customFormat="false" customHeight="false" hidden="false" ht="14.5" outlineLevel="0" r="296">
      <c r="A296" s="30" t="n">
        <v>287</v>
      </c>
      <c r="B296" s="30" t="s">
        <v>45</v>
      </c>
      <c r="C296" s="30" t="s">
        <v>59</v>
      </c>
      <c r="D296" s="30" t="s">
        <v>436</v>
      </c>
      <c r="E296" s="30" t="n">
        <v>17</v>
      </c>
      <c r="F296" s="30"/>
      <c r="G296" s="30"/>
      <c r="H296" s="30" t="s">
        <v>443</v>
      </c>
      <c r="I296" s="30" t="s">
        <v>56</v>
      </c>
      <c r="J296" s="30"/>
      <c r="K296" s="30" t="s">
        <v>64</v>
      </c>
      <c r="L296" s="30"/>
      <c r="M296" s="30" t="n">
        <v>1961</v>
      </c>
      <c r="N296" s="30" t="s">
        <v>58</v>
      </c>
      <c r="O296" s="30" t="n">
        <v>3</v>
      </c>
      <c r="P296" s="30" t="n">
        <v>0</v>
      </c>
      <c r="Q296" s="30" t="n">
        <v>2</v>
      </c>
      <c r="R296" s="30" t="n">
        <v>24</v>
      </c>
      <c r="S296" s="30" t="n">
        <v>937</v>
      </c>
      <c r="T296" s="30" t="n">
        <v>937</v>
      </c>
      <c r="U296" s="30" t="n">
        <v>937</v>
      </c>
      <c r="V296" s="30"/>
      <c r="W296" s="30" t="s">
        <v>53</v>
      </c>
      <c r="X296" s="30" t="s">
        <v>53</v>
      </c>
      <c r="Y296" s="30" t="s">
        <v>53</v>
      </c>
      <c r="Z296" s="30" t="s">
        <v>53</v>
      </c>
      <c r="AA296" s="30" t="s">
        <v>53</v>
      </c>
      <c r="AB296" s="30" t="s">
        <v>53</v>
      </c>
      <c r="AC296" s="30" t="s">
        <v>53</v>
      </c>
      <c r="AD296" s="30" t="s">
        <v>53</v>
      </c>
      <c r="AE296" s="30" t="s">
        <v>54</v>
      </c>
      <c r="AF296" s="30" t="n">
        <v>0</v>
      </c>
      <c r="AG296" s="30" t="n">
        <v>0</v>
      </c>
      <c r="AH296" s="30" t="n">
        <v>0</v>
      </c>
      <c r="AI296" s="30" t="n">
        <v>0</v>
      </c>
      <c r="AJ296" s="30" t="n">
        <v>0</v>
      </c>
      <c r="AK296" s="30" t="n">
        <v>0</v>
      </c>
      <c r="AL296" s="26"/>
    </row>
    <row collapsed="false" customFormat="false" customHeight="false" hidden="false" ht="14.5" outlineLevel="0" r="297">
      <c r="A297" s="30" t="n">
        <v>288</v>
      </c>
      <c r="B297" s="30" t="s">
        <v>45</v>
      </c>
      <c r="C297" s="30" t="s">
        <v>59</v>
      </c>
      <c r="D297" s="30" t="s">
        <v>436</v>
      </c>
      <c r="E297" s="30" t="n">
        <v>19</v>
      </c>
      <c r="F297" s="30"/>
      <c r="G297" s="30"/>
      <c r="H297" s="30" t="s">
        <v>444</v>
      </c>
      <c r="I297" s="30" t="s">
        <v>56</v>
      </c>
      <c r="J297" s="30"/>
      <c r="K297" s="30" t="s">
        <v>64</v>
      </c>
      <c r="L297" s="30"/>
      <c r="M297" s="30" t="n">
        <v>1960</v>
      </c>
      <c r="N297" s="30" t="s">
        <v>58</v>
      </c>
      <c r="O297" s="30" t="n">
        <v>3</v>
      </c>
      <c r="P297" s="30" t="n">
        <v>0</v>
      </c>
      <c r="Q297" s="30" t="n">
        <v>3</v>
      </c>
      <c r="R297" s="30" t="n">
        <v>36</v>
      </c>
      <c r="S297" s="30" t="n">
        <v>1496</v>
      </c>
      <c r="T297" s="30" t="n">
        <v>1496</v>
      </c>
      <c r="U297" s="30" t="n">
        <v>1496</v>
      </c>
      <c r="V297" s="30"/>
      <c r="W297" s="30" t="s">
        <v>53</v>
      </c>
      <c r="X297" s="30" t="s">
        <v>53</v>
      </c>
      <c r="Y297" s="30" t="s">
        <v>53</v>
      </c>
      <c r="Z297" s="30" t="s">
        <v>53</v>
      </c>
      <c r="AA297" s="30" t="s">
        <v>53</v>
      </c>
      <c r="AB297" s="30" t="s">
        <v>53</v>
      </c>
      <c r="AC297" s="30" t="s">
        <v>53</v>
      </c>
      <c r="AD297" s="30" t="s">
        <v>53</v>
      </c>
      <c r="AE297" s="30" t="s">
        <v>54</v>
      </c>
      <c r="AF297" s="30" t="n">
        <v>0</v>
      </c>
      <c r="AG297" s="30" t="n">
        <v>0</v>
      </c>
      <c r="AH297" s="30" t="n">
        <v>2</v>
      </c>
      <c r="AI297" s="30" t="n">
        <v>0</v>
      </c>
      <c r="AJ297" s="30" t="n">
        <v>0</v>
      </c>
      <c r="AK297" s="30" t="n">
        <v>0</v>
      </c>
      <c r="AL297" s="26"/>
    </row>
    <row collapsed="false" customFormat="false" customHeight="false" hidden="false" ht="14.5" outlineLevel="0" r="298">
      <c r="A298" s="30" t="n">
        <v>289</v>
      </c>
      <c r="B298" s="30" t="s">
        <v>45</v>
      </c>
      <c r="C298" s="30" t="s">
        <v>59</v>
      </c>
      <c r="D298" s="30" t="s">
        <v>436</v>
      </c>
      <c r="E298" s="30" t="n">
        <v>21</v>
      </c>
      <c r="F298" s="30"/>
      <c r="G298" s="30"/>
      <c r="H298" s="30" t="s">
        <v>445</v>
      </c>
      <c r="I298" s="30" t="s">
        <v>56</v>
      </c>
      <c r="J298" s="30"/>
      <c r="K298" s="30" t="s">
        <v>64</v>
      </c>
      <c r="L298" s="30"/>
      <c r="M298" s="30" t="n">
        <v>1962</v>
      </c>
      <c r="N298" s="30" t="s">
        <v>58</v>
      </c>
      <c r="O298" s="30" t="n">
        <v>3</v>
      </c>
      <c r="P298" s="30" t="n">
        <v>0</v>
      </c>
      <c r="Q298" s="30" t="n">
        <v>3</v>
      </c>
      <c r="R298" s="30" t="n">
        <v>36</v>
      </c>
      <c r="S298" s="30" t="n">
        <v>1507</v>
      </c>
      <c r="T298" s="30" t="n">
        <v>1507</v>
      </c>
      <c r="U298" s="30" t="n">
        <v>1507</v>
      </c>
      <c r="V298" s="30"/>
      <c r="W298" s="30" t="s">
        <v>53</v>
      </c>
      <c r="X298" s="30" t="s">
        <v>53</v>
      </c>
      <c r="Y298" s="30" t="s">
        <v>53</v>
      </c>
      <c r="Z298" s="30" t="s">
        <v>53</v>
      </c>
      <c r="AA298" s="30" t="s">
        <v>53</v>
      </c>
      <c r="AB298" s="30" t="s">
        <v>53</v>
      </c>
      <c r="AC298" s="30" t="s">
        <v>53</v>
      </c>
      <c r="AD298" s="30" t="s">
        <v>53</v>
      </c>
      <c r="AE298" s="30" t="s">
        <v>54</v>
      </c>
      <c r="AF298" s="30" t="n">
        <v>0</v>
      </c>
      <c r="AG298" s="30" t="n">
        <v>0</v>
      </c>
      <c r="AH298" s="30" t="n">
        <v>2</v>
      </c>
      <c r="AI298" s="30" t="n">
        <v>0</v>
      </c>
      <c r="AJ298" s="30" t="n">
        <v>0</v>
      </c>
      <c r="AK298" s="30" t="n">
        <v>0</v>
      </c>
      <c r="AL298" s="26"/>
    </row>
    <row collapsed="false" customFormat="false" customHeight="false" hidden="false" ht="14.5" outlineLevel="0" r="299">
      <c r="A299" s="30" t="n">
        <v>290</v>
      </c>
      <c r="B299" s="30" t="s">
        <v>45</v>
      </c>
      <c r="C299" s="30" t="s">
        <v>59</v>
      </c>
      <c r="D299" s="30" t="s">
        <v>436</v>
      </c>
      <c r="E299" s="30" t="n">
        <v>23</v>
      </c>
      <c r="F299" s="30"/>
      <c r="G299" s="30"/>
      <c r="H299" s="30" t="s">
        <v>446</v>
      </c>
      <c r="I299" s="30" t="s">
        <v>56</v>
      </c>
      <c r="J299" s="30"/>
      <c r="K299" s="30" t="s">
        <v>64</v>
      </c>
      <c r="L299" s="30"/>
      <c r="M299" s="30" t="n">
        <v>1962</v>
      </c>
      <c r="N299" s="30" t="s">
        <v>58</v>
      </c>
      <c r="O299" s="30" t="n">
        <v>3</v>
      </c>
      <c r="P299" s="30" t="n">
        <v>0</v>
      </c>
      <c r="Q299" s="30" t="n">
        <v>2</v>
      </c>
      <c r="R299" s="30" t="n">
        <v>24</v>
      </c>
      <c r="S299" s="30" t="n">
        <v>942</v>
      </c>
      <c r="T299" s="30" t="n">
        <v>942</v>
      </c>
      <c r="U299" s="30" t="n">
        <v>942</v>
      </c>
      <c r="V299" s="30"/>
      <c r="W299" s="30" t="s">
        <v>53</v>
      </c>
      <c r="X299" s="30" t="s">
        <v>53</v>
      </c>
      <c r="Y299" s="30" t="s">
        <v>53</v>
      </c>
      <c r="Z299" s="30" t="s">
        <v>53</v>
      </c>
      <c r="AA299" s="30" t="s">
        <v>53</v>
      </c>
      <c r="AB299" s="30" t="s">
        <v>53</v>
      </c>
      <c r="AC299" s="30" t="s">
        <v>53</v>
      </c>
      <c r="AD299" s="30" t="s">
        <v>53</v>
      </c>
      <c r="AE299" s="30" t="s">
        <v>54</v>
      </c>
      <c r="AF299" s="30" t="n">
        <v>0</v>
      </c>
      <c r="AG299" s="30" t="n">
        <v>0</v>
      </c>
      <c r="AH299" s="30" t="n">
        <v>1</v>
      </c>
      <c r="AI299" s="30" t="n">
        <v>0</v>
      </c>
      <c r="AJ299" s="30" t="n">
        <v>1</v>
      </c>
      <c r="AK299" s="30" t="n">
        <v>0</v>
      </c>
      <c r="AL299" s="26"/>
    </row>
    <row collapsed="false" customFormat="false" customHeight="false" hidden="false" ht="14.5" outlineLevel="0" r="300">
      <c r="A300" s="30" t="n">
        <v>291</v>
      </c>
      <c r="B300" s="30" t="s">
        <v>45</v>
      </c>
      <c r="C300" s="30" t="s">
        <v>59</v>
      </c>
      <c r="D300" s="30" t="s">
        <v>436</v>
      </c>
      <c r="E300" s="30" t="n">
        <v>25</v>
      </c>
      <c r="F300" s="30"/>
      <c r="G300" s="30"/>
      <c r="H300" s="30" t="s">
        <v>447</v>
      </c>
      <c r="I300" s="30" t="s">
        <v>56</v>
      </c>
      <c r="J300" s="30"/>
      <c r="K300" s="30" t="s">
        <v>64</v>
      </c>
      <c r="L300" s="30"/>
      <c r="M300" s="30" t="n">
        <v>1961</v>
      </c>
      <c r="N300" s="30" t="s">
        <v>58</v>
      </c>
      <c r="O300" s="30" t="n">
        <v>3</v>
      </c>
      <c r="P300" s="30" t="n">
        <v>0</v>
      </c>
      <c r="Q300" s="30" t="n">
        <v>3</v>
      </c>
      <c r="R300" s="30" t="n">
        <v>36</v>
      </c>
      <c r="S300" s="30" t="n">
        <v>1475</v>
      </c>
      <c r="T300" s="30" t="n">
        <v>1475</v>
      </c>
      <c r="U300" s="30" t="n">
        <v>1475</v>
      </c>
      <c r="V300" s="30"/>
      <c r="W300" s="30" t="s">
        <v>53</v>
      </c>
      <c r="X300" s="30" t="s">
        <v>53</v>
      </c>
      <c r="Y300" s="30" t="s">
        <v>53</v>
      </c>
      <c r="Z300" s="30" t="s">
        <v>53</v>
      </c>
      <c r="AA300" s="30" t="s">
        <v>53</v>
      </c>
      <c r="AB300" s="30" t="s">
        <v>53</v>
      </c>
      <c r="AC300" s="30" t="s">
        <v>53</v>
      </c>
      <c r="AD300" s="30" t="s">
        <v>53</v>
      </c>
      <c r="AE300" s="30" t="s">
        <v>54</v>
      </c>
      <c r="AF300" s="30" t="n">
        <v>0</v>
      </c>
      <c r="AG300" s="30" t="n">
        <v>0</v>
      </c>
      <c r="AH300" s="30" t="n">
        <v>2</v>
      </c>
      <c r="AI300" s="30" t="n">
        <v>0</v>
      </c>
      <c r="AJ300" s="30" t="n">
        <v>1</v>
      </c>
      <c r="AK300" s="30" t="n">
        <v>0</v>
      </c>
      <c r="AL300" s="26"/>
    </row>
    <row collapsed="false" customFormat="false" customHeight="false" hidden="false" ht="14.5" outlineLevel="0" r="301">
      <c r="A301" s="30" t="n">
        <v>292</v>
      </c>
      <c r="B301" s="30" t="s">
        <v>45</v>
      </c>
      <c r="C301" s="30" t="s">
        <v>59</v>
      </c>
      <c r="D301" s="30" t="s">
        <v>436</v>
      </c>
      <c r="E301" s="30" t="n">
        <v>27</v>
      </c>
      <c r="F301" s="30"/>
      <c r="G301" s="30"/>
      <c r="H301" s="30" t="s">
        <v>448</v>
      </c>
      <c r="I301" s="30" t="s">
        <v>56</v>
      </c>
      <c r="J301" s="30"/>
      <c r="K301" s="30" t="s">
        <v>64</v>
      </c>
      <c r="L301" s="30" t="s">
        <v>57</v>
      </c>
      <c r="M301" s="30" t="n">
        <v>1962</v>
      </c>
      <c r="N301" s="30" t="s">
        <v>58</v>
      </c>
      <c r="O301" s="30" t="n">
        <v>3</v>
      </c>
      <c r="P301" s="30" t="n">
        <v>0</v>
      </c>
      <c r="Q301" s="30" t="n">
        <v>3</v>
      </c>
      <c r="R301" s="30" t="n">
        <v>36</v>
      </c>
      <c r="S301" s="30" t="n">
        <v>1500</v>
      </c>
      <c r="T301" s="30" t="n">
        <v>1500</v>
      </c>
      <c r="U301" s="30" t="n">
        <v>1500</v>
      </c>
      <c r="V301" s="30"/>
      <c r="W301" s="30" t="s">
        <v>53</v>
      </c>
      <c r="X301" s="30" t="s">
        <v>53</v>
      </c>
      <c r="Y301" s="30" t="s">
        <v>53</v>
      </c>
      <c r="Z301" s="30" t="s">
        <v>53</v>
      </c>
      <c r="AA301" s="30" t="s">
        <v>53</v>
      </c>
      <c r="AB301" s="30" t="s">
        <v>53</v>
      </c>
      <c r="AC301" s="30" t="s">
        <v>53</v>
      </c>
      <c r="AD301" s="30" t="s">
        <v>53</v>
      </c>
      <c r="AE301" s="30" t="s">
        <v>54</v>
      </c>
      <c r="AF301" s="30" t="n">
        <v>0</v>
      </c>
      <c r="AG301" s="30" t="n">
        <v>0</v>
      </c>
      <c r="AH301" s="30" t="n">
        <v>1</v>
      </c>
      <c r="AI301" s="30" t="n">
        <v>0</v>
      </c>
      <c r="AJ301" s="30" t="n">
        <v>1</v>
      </c>
      <c r="AK301" s="30" t="n">
        <v>0</v>
      </c>
      <c r="AL301" s="26"/>
    </row>
    <row collapsed="false" customFormat="false" customHeight="false" hidden="false" ht="14.5" outlineLevel="0" r="302">
      <c r="A302" s="30" t="n">
        <v>293</v>
      </c>
      <c r="B302" s="30" t="s">
        <v>45</v>
      </c>
      <c r="C302" s="30" t="s">
        <v>59</v>
      </c>
      <c r="D302" s="30" t="s">
        <v>436</v>
      </c>
      <c r="E302" s="30" t="n">
        <v>29</v>
      </c>
      <c r="F302" s="30"/>
      <c r="G302" s="30"/>
      <c r="H302" s="30" t="s">
        <v>449</v>
      </c>
      <c r="I302" s="30" t="s">
        <v>56</v>
      </c>
      <c r="J302" s="30"/>
      <c r="K302" s="30" t="s">
        <v>64</v>
      </c>
      <c r="L302" s="30"/>
      <c r="M302" s="30" t="n">
        <v>1960</v>
      </c>
      <c r="N302" s="30" t="s">
        <v>58</v>
      </c>
      <c r="O302" s="30" t="n">
        <v>3</v>
      </c>
      <c r="P302" s="30" t="n">
        <v>0</v>
      </c>
      <c r="Q302" s="30" t="n">
        <v>2</v>
      </c>
      <c r="R302" s="30" t="n">
        <v>24</v>
      </c>
      <c r="S302" s="30" t="n">
        <v>942</v>
      </c>
      <c r="T302" s="30" t="n">
        <v>942</v>
      </c>
      <c r="U302" s="30" t="n">
        <v>942</v>
      </c>
      <c r="V302" s="30"/>
      <c r="W302" s="30" t="s">
        <v>53</v>
      </c>
      <c r="X302" s="30" t="s">
        <v>53</v>
      </c>
      <c r="Y302" s="30" t="s">
        <v>53</v>
      </c>
      <c r="Z302" s="30" t="s">
        <v>53</v>
      </c>
      <c r="AA302" s="30" t="s">
        <v>53</v>
      </c>
      <c r="AB302" s="30" t="s">
        <v>53</v>
      </c>
      <c r="AC302" s="30" t="s">
        <v>53</v>
      </c>
      <c r="AD302" s="30" t="s">
        <v>53</v>
      </c>
      <c r="AE302" s="30" t="s">
        <v>54</v>
      </c>
      <c r="AF302" s="30" t="n">
        <v>0</v>
      </c>
      <c r="AG302" s="30" t="n">
        <v>0</v>
      </c>
      <c r="AH302" s="30" t="n">
        <v>0</v>
      </c>
      <c r="AI302" s="30" t="n">
        <v>0</v>
      </c>
      <c r="AJ302" s="30" t="n">
        <v>0</v>
      </c>
      <c r="AK302" s="30" t="n">
        <v>0</v>
      </c>
      <c r="AL302" s="26"/>
    </row>
    <row collapsed="false" customFormat="false" customHeight="false" hidden="false" ht="14.5" outlineLevel="0" r="303">
      <c r="A303" s="30" t="n">
        <v>294</v>
      </c>
      <c r="B303" s="30" t="s">
        <v>45</v>
      </c>
      <c r="C303" s="30" t="s">
        <v>59</v>
      </c>
      <c r="D303" s="30" t="s">
        <v>436</v>
      </c>
      <c r="E303" s="30" t="n">
        <v>33</v>
      </c>
      <c r="F303" s="30"/>
      <c r="G303" s="30"/>
      <c r="H303" s="30" t="s">
        <v>450</v>
      </c>
      <c r="I303" s="30" t="s">
        <v>56</v>
      </c>
      <c r="J303" s="30"/>
      <c r="K303" s="30" t="s">
        <v>138</v>
      </c>
      <c r="L303" s="30" t="s">
        <v>451</v>
      </c>
      <c r="M303" s="30" t="n">
        <v>1973</v>
      </c>
      <c r="N303" s="30" t="s">
        <v>108</v>
      </c>
      <c r="O303" s="30" t="n">
        <v>9</v>
      </c>
      <c r="P303" s="30" t="n">
        <v>0</v>
      </c>
      <c r="Q303" s="30" t="n">
        <v>1</v>
      </c>
      <c r="R303" s="30" t="n">
        <v>53</v>
      </c>
      <c r="S303" s="30" t="n">
        <v>2130</v>
      </c>
      <c r="T303" s="30" t="n">
        <v>2130</v>
      </c>
      <c r="U303" s="30" t="n">
        <v>2130</v>
      </c>
      <c r="V303" s="30"/>
      <c r="W303" s="30" t="s">
        <v>53</v>
      </c>
      <c r="X303" s="30" t="s">
        <v>53</v>
      </c>
      <c r="Y303" s="30" t="s">
        <v>53</v>
      </c>
      <c r="Z303" s="30" t="s">
        <v>53</v>
      </c>
      <c r="AA303" s="30" t="s">
        <v>53</v>
      </c>
      <c r="AB303" s="30" t="s">
        <v>53</v>
      </c>
      <c r="AC303" s="30" t="s">
        <v>54</v>
      </c>
      <c r="AD303" s="30" t="s">
        <v>53</v>
      </c>
      <c r="AE303" s="30" t="s">
        <v>54</v>
      </c>
      <c r="AF303" s="30" t="n">
        <v>1</v>
      </c>
      <c r="AG303" s="30" t="n">
        <v>0</v>
      </c>
      <c r="AH303" s="30" t="n">
        <v>1</v>
      </c>
      <c r="AI303" s="30" t="n">
        <v>0</v>
      </c>
      <c r="AJ303" s="30" t="n">
        <v>1</v>
      </c>
      <c r="AK303" s="30" t="n">
        <v>0</v>
      </c>
      <c r="AL303" s="26"/>
    </row>
    <row collapsed="false" customFormat="false" customHeight="false" hidden="false" ht="14.5" outlineLevel="0" r="304">
      <c r="A304" s="30" t="n">
        <v>295</v>
      </c>
      <c r="B304" s="30" t="s">
        <v>45</v>
      </c>
      <c r="C304" s="30" t="s">
        <v>59</v>
      </c>
      <c r="D304" s="30" t="s">
        <v>436</v>
      </c>
      <c r="E304" s="30" t="n">
        <v>35</v>
      </c>
      <c r="F304" s="30"/>
      <c r="G304" s="30"/>
      <c r="H304" s="30" t="s">
        <v>452</v>
      </c>
      <c r="I304" s="30" t="s">
        <v>56</v>
      </c>
      <c r="J304" s="30"/>
      <c r="K304" s="30" t="s">
        <v>101</v>
      </c>
      <c r="L304" s="30"/>
      <c r="M304" s="30" t="n">
        <v>1972</v>
      </c>
      <c r="N304" s="30" t="s">
        <v>58</v>
      </c>
      <c r="O304" s="30" t="n">
        <v>5</v>
      </c>
      <c r="P304" s="30" t="n">
        <v>0</v>
      </c>
      <c r="Q304" s="30" t="n">
        <v>5</v>
      </c>
      <c r="R304" s="30" t="n">
        <v>100</v>
      </c>
      <c r="S304" s="30" t="n">
        <v>4405</v>
      </c>
      <c r="T304" s="30" t="n">
        <v>4405</v>
      </c>
      <c r="U304" s="30" t="n">
        <v>4405</v>
      </c>
      <c r="V304" s="30"/>
      <c r="W304" s="30" t="s">
        <v>53</v>
      </c>
      <c r="X304" s="30" t="s">
        <v>53</v>
      </c>
      <c r="Y304" s="30" t="s">
        <v>53</v>
      </c>
      <c r="Z304" s="30" t="s">
        <v>53</v>
      </c>
      <c r="AA304" s="30" t="s">
        <v>53</v>
      </c>
      <c r="AB304" s="30" t="s">
        <v>53</v>
      </c>
      <c r="AC304" s="30" t="s">
        <v>53</v>
      </c>
      <c r="AD304" s="30" t="s">
        <v>53</v>
      </c>
      <c r="AE304" s="30" t="s">
        <v>54</v>
      </c>
      <c r="AF304" s="30" t="n">
        <v>0</v>
      </c>
      <c r="AG304" s="30" t="n">
        <v>0</v>
      </c>
      <c r="AH304" s="30" t="n">
        <v>1</v>
      </c>
      <c r="AI304" s="30" t="n">
        <v>0</v>
      </c>
      <c r="AJ304" s="30" t="n">
        <v>1</v>
      </c>
      <c r="AK304" s="30" t="n">
        <v>0</v>
      </c>
      <c r="AL304" s="26"/>
    </row>
    <row collapsed="false" customFormat="false" customHeight="false" hidden="false" ht="14.5" outlineLevel="0" r="305">
      <c r="A305" s="30" t="n">
        <v>296</v>
      </c>
      <c r="B305" s="30" t="s">
        <v>45</v>
      </c>
      <c r="C305" s="30" t="s">
        <v>59</v>
      </c>
      <c r="D305" s="30" t="s">
        <v>436</v>
      </c>
      <c r="E305" s="30" t="n">
        <v>37</v>
      </c>
      <c r="F305" s="30"/>
      <c r="G305" s="30"/>
      <c r="H305" s="30" t="s">
        <v>453</v>
      </c>
      <c r="I305" s="30" t="s">
        <v>56</v>
      </c>
      <c r="J305" s="30"/>
      <c r="K305" s="30" t="s">
        <v>64</v>
      </c>
      <c r="L305" s="30"/>
      <c r="M305" s="30" t="n">
        <v>1970</v>
      </c>
      <c r="N305" s="30" t="s">
        <v>58</v>
      </c>
      <c r="O305" s="30" t="n">
        <v>5</v>
      </c>
      <c r="P305" s="30" t="n">
        <v>0</v>
      </c>
      <c r="Q305" s="30" t="n">
        <v>5</v>
      </c>
      <c r="R305" s="30" t="n">
        <v>100</v>
      </c>
      <c r="S305" s="30" t="n">
        <v>4172</v>
      </c>
      <c r="T305" s="30" t="n">
        <v>4172</v>
      </c>
      <c r="U305" s="30" t="n">
        <v>4172</v>
      </c>
      <c r="V305" s="30"/>
      <c r="W305" s="30" t="s">
        <v>53</v>
      </c>
      <c r="X305" s="30" t="s">
        <v>53</v>
      </c>
      <c r="Y305" s="30" t="s">
        <v>53</v>
      </c>
      <c r="Z305" s="30" t="s">
        <v>53</v>
      </c>
      <c r="AA305" s="30" t="s">
        <v>53</v>
      </c>
      <c r="AB305" s="30" t="s">
        <v>53</v>
      </c>
      <c r="AC305" s="30" t="s">
        <v>53</v>
      </c>
      <c r="AD305" s="30" t="s">
        <v>53</v>
      </c>
      <c r="AE305" s="30" t="s">
        <v>54</v>
      </c>
      <c r="AF305" s="30" t="n">
        <v>0</v>
      </c>
      <c r="AG305" s="30" t="n">
        <v>0</v>
      </c>
      <c r="AH305" s="30" t="n">
        <v>1</v>
      </c>
      <c r="AI305" s="30" t="n">
        <v>0</v>
      </c>
      <c r="AJ305" s="30" t="n">
        <v>1</v>
      </c>
      <c r="AK305" s="30" t="n">
        <v>0</v>
      </c>
      <c r="AL305" s="26"/>
    </row>
    <row collapsed="false" customFormat="false" customHeight="false" hidden="false" ht="14.5" outlineLevel="0" r="306">
      <c r="A306" s="30" t="n">
        <v>297</v>
      </c>
      <c r="B306" s="30" t="s">
        <v>45</v>
      </c>
      <c r="C306" s="30" t="s">
        <v>59</v>
      </c>
      <c r="D306" s="30" t="s">
        <v>436</v>
      </c>
      <c r="E306" s="30" t="n">
        <v>39</v>
      </c>
      <c r="F306" s="30"/>
      <c r="G306" s="30"/>
      <c r="H306" s="30" t="s">
        <v>454</v>
      </c>
      <c r="I306" s="30" t="s">
        <v>56</v>
      </c>
      <c r="J306" s="30"/>
      <c r="K306" s="30" t="s">
        <v>64</v>
      </c>
      <c r="L306" s="30"/>
      <c r="M306" s="30" t="n">
        <v>1970</v>
      </c>
      <c r="N306" s="30" t="s">
        <v>58</v>
      </c>
      <c r="O306" s="30" t="n">
        <v>5</v>
      </c>
      <c r="P306" s="30" t="n">
        <v>0</v>
      </c>
      <c r="Q306" s="30" t="n">
        <v>5</v>
      </c>
      <c r="R306" s="30" t="n">
        <v>99</v>
      </c>
      <c r="S306" s="30" t="n">
        <v>4166</v>
      </c>
      <c r="T306" s="30" t="n">
        <v>4166</v>
      </c>
      <c r="U306" s="30" t="n">
        <v>4166</v>
      </c>
      <c r="V306" s="30"/>
      <c r="W306" s="30" t="s">
        <v>53</v>
      </c>
      <c r="X306" s="30" t="s">
        <v>53</v>
      </c>
      <c r="Y306" s="30" t="s">
        <v>53</v>
      </c>
      <c r="Z306" s="30" t="s">
        <v>53</v>
      </c>
      <c r="AA306" s="30" t="s">
        <v>53</v>
      </c>
      <c r="AB306" s="30" t="s">
        <v>53</v>
      </c>
      <c r="AC306" s="30" t="s">
        <v>53</v>
      </c>
      <c r="AD306" s="30" t="s">
        <v>53</v>
      </c>
      <c r="AE306" s="30" t="s">
        <v>54</v>
      </c>
      <c r="AF306" s="30" t="n">
        <v>0</v>
      </c>
      <c r="AG306" s="30" t="n">
        <v>0</v>
      </c>
      <c r="AH306" s="30" t="n">
        <v>1</v>
      </c>
      <c r="AI306" s="30" t="n">
        <v>0</v>
      </c>
      <c r="AJ306" s="30" t="n">
        <v>1</v>
      </c>
      <c r="AK306" s="30" t="n">
        <v>0</v>
      </c>
      <c r="AL306" s="26"/>
    </row>
    <row collapsed="false" customFormat="false" customHeight="false" hidden="false" ht="14.5" outlineLevel="0" r="307">
      <c r="A307" s="30" t="n">
        <v>298</v>
      </c>
      <c r="B307" s="30" t="s">
        <v>45</v>
      </c>
      <c r="C307" s="30" t="s">
        <v>59</v>
      </c>
      <c r="D307" s="30" t="s">
        <v>436</v>
      </c>
      <c r="E307" s="30" t="n">
        <v>39</v>
      </c>
      <c r="F307" s="30" t="n">
        <v>1</v>
      </c>
      <c r="G307" s="30"/>
      <c r="H307" s="30" t="s">
        <v>455</v>
      </c>
      <c r="I307" s="30" t="s">
        <v>56</v>
      </c>
      <c r="J307" s="30"/>
      <c r="K307" s="30" t="s">
        <v>138</v>
      </c>
      <c r="L307" s="30" t="s">
        <v>451</v>
      </c>
      <c r="M307" s="30" t="n">
        <v>1975</v>
      </c>
      <c r="N307" s="30" t="s">
        <v>108</v>
      </c>
      <c r="O307" s="30" t="n">
        <v>9</v>
      </c>
      <c r="P307" s="30" t="n">
        <v>0</v>
      </c>
      <c r="Q307" s="30" t="n">
        <v>1</v>
      </c>
      <c r="R307" s="30" t="n">
        <v>54</v>
      </c>
      <c r="S307" s="30" t="n">
        <v>2136.6</v>
      </c>
      <c r="T307" s="30" t="n">
        <v>2136.6</v>
      </c>
      <c r="U307" s="30" t="n">
        <v>2099</v>
      </c>
      <c r="V307" s="30"/>
      <c r="W307" s="30" t="s">
        <v>53</v>
      </c>
      <c r="X307" s="30" t="s">
        <v>53</v>
      </c>
      <c r="Y307" s="30" t="s">
        <v>53</v>
      </c>
      <c r="Z307" s="30" t="s">
        <v>53</v>
      </c>
      <c r="AA307" s="30" t="s">
        <v>53</v>
      </c>
      <c r="AB307" s="30" t="s">
        <v>53</v>
      </c>
      <c r="AC307" s="30" t="s">
        <v>54</v>
      </c>
      <c r="AD307" s="30" t="s">
        <v>53</v>
      </c>
      <c r="AE307" s="30" t="s">
        <v>54</v>
      </c>
      <c r="AF307" s="30" t="n">
        <v>1</v>
      </c>
      <c r="AG307" s="30" t="n">
        <v>0</v>
      </c>
      <c r="AH307" s="30" t="n">
        <v>1</v>
      </c>
      <c r="AI307" s="30" t="n">
        <v>0</v>
      </c>
      <c r="AJ307" s="30" t="n">
        <v>1</v>
      </c>
      <c r="AK307" s="30" t="n">
        <v>0</v>
      </c>
      <c r="AL307" s="26"/>
    </row>
    <row collapsed="false" customFormat="false" customHeight="false" hidden="false" ht="14.5" outlineLevel="0" r="308">
      <c r="A308" s="30" t="n">
        <v>299</v>
      </c>
      <c r="B308" s="30" t="s">
        <v>45</v>
      </c>
      <c r="C308" s="30" t="s">
        <v>59</v>
      </c>
      <c r="D308" s="30" t="s">
        <v>436</v>
      </c>
      <c r="E308" s="30" t="n">
        <v>41</v>
      </c>
      <c r="F308" s="30"/>
      <c r="G308" s="30"/>
      <c r="H308" s="30" t="s">
        <v>456</v>
      </c>
      <c r="I308" s="30" t="s">
        <v>56</v>
      </c>
      <c r="J308" s="30"/>
      <c r="K308" s="30" t="s">
        <v>101</v>
      </c>
      <c r="L308" s="30" t="s">
        <v>57</v>
      </c>
      <c r="M308" s="30" t="n">
        <v>1972</v>
      </c>
      <c r="N308" s="30" t="s">
        <v>58</v>
      </c>
      <c r="O308" s="30" t="n">
        <v>5</v>
      </c>
      <c r="P308" s="30" t="n">
        <v>0</v>
      </c>
      <c r="Q308" s="30" t="n">
        <v>5</v>
      </c>
      <c r="R308" s="30" t="n">
        <v>100</v>
      </c>
      <c r="S308" s="30" t="n">
        <v>4343</v>
      </c>
      <c r="T308" s="30" t="n">
        <v>4343</v>
      </c>
      <c r="U308" s="30" t="n">
        <v>4343</v>
      </c>
      <c r="V308" s="30"/>
      <c r="W308" s="30" t="s">
        <v>53</v>
      </c>
      <c r="X308" s="30" t="s">
        <v>53</v>
      </c>
      <c r="Y308" s="30" t="s">
        <v>53</v>
      </c>
      <c r="Z308" s="30" t="s">
        <v>53</v>
      </c>
      <c r="AA308" s="30" t="s">
        <v>53</v>
      </c>
      <c r="AB308" s="30" t="s">
        <v>53</v>
      </c>
      <c r="AC308" s="30" t="s">
        <v>53</v>
      </c>
      <c r="AD308" s="30" t="s">
        <v>53</v>
      </c>
      <c r="AE308" s="30" t="s">
        <v>54</v>
      </c>
      <c r="AF308" s="30" t="n">
        <v>0</v>
      </c>
      <c r="AG308" s="30" t="n">
        <v>0</v>
      </c>
      <c r="AH308" s="30" t="n">
        <v>1</v>
      </c>
      <c r="AI308" s="30" t="n">
        <v>0</v>
      </c>
      <c r="AJ308" s="30" t="n">
        <v>1</v>
      </c>
      <c r="AK308" s="30" t="n">
        <v>0</v>
      </c>
      <c r="AL308" s="26"/>
    </row>
    <row collapsed="false" customFormat="false" customHeight="false" hidden="false" ht="14.5" outlineLevel="0" r="309">
      <c r="A309" s="30" t="n">
        <v>300</v>
      </c>
      <c r="B309" s="30" t="s">
        <v>45</v>
      </c>
      <c r="C309" s="30" t="s">
        <v>59</v>
      </c>
      <c r="D309" s="30" t="s">
        <v>436</v>
      </c>
      <c r="E309" s="30" t="n">
        <v>43</v>
      </c>
      <c r="F309" s="30"/>
      <c r="G309" s="30"/>
      <c r="H309" s="30" t="s">
        <v>457</v>
      </c>
      <c r="I309" s="30" t="s">
        <v>56</v>
      </c>
      <c r="J309" s="30"/>
      <c r="K309" s="30" t="s">
        <v>138</v>
      </c>
      <c r="L309" s="30" t="s">
        <v>57</v>
      </c>
      <c r="M309" s="30" t="n">
        <v>1973</v>
      </c>
      <c r="N309" s="30" t="s">
        <v>108</v>
      </c>
      <c r="O309" s="30" t="n">
        <v>9</v>
      </c>
      <c r="P309" s="30" t="n">
        <v>0</v>
      </c>
      <c r="Q309" s="30" t="n">
        <v>1</v>
      </c>
      <c r="R309" s="30" t="n">
        <v>54</v>
      </c>
      <c r="S309" s="30" t="n">
        <v>2145.6</v>
      </c>
      <c r="T309" s="30" t="n">
        <v>2145.6</v>
      </c>
      <c r="U309" s="30" t="n">
        <v>2108</v>
      </c>
      <c r="V309" s="30"/>
      <c r="W309" s="30" t="s">
        <v>53</v>
      </c>
      <c r="X309" s="30" t="s">
        <v>53</v>
      </c>
      <c r="Y309" s="30" t="s">
        <v>53</v>
      </c>
      <c r="Z309" s="30" t="s">
        <v>53</v>
      </c>
      <c r="AA309" s="30" t="s">
        <v>53</v>
      </c>
      <c r="AB309" s="30" t="s">
        <v>53</v>
      </c>
      <c r="AC309" s="30" t="s">
        <v>54</v>
      </c>
      <c r="AD309" s="30" t="s">
        <v>53</v>
      </c>
      <c r="AE309" s="30" t="s">
        <v>54</v>
      </c>
      <c r="AF309" s="30" t="n">
        <v>1</v>
      </c>
      <c r="AG309" s="30" t="n">
        <v>0</v>
      </c>
      <c r="AH309" s="30" t="n">
        <v>1</v>
      </c>
      <c r="AI309" s="30" t="n">
        <v>0</v>
      </c>
      <c r="AJ309" s="30" t="n">
        <v>1</v>
      </c>
      <c r="AK309" s="30" t="n">
        <v>0</v>
      </c>
      <c r="AL309" s="26"/>
    </row>
    <row collapsed="false" customFormat="false" customHeight="false" hidden="false" ht="14.5" outlineLevel="0" r="310">
      <c r="A310" s="30" t="n">
        <v>301</v>
      </c>
      <c r="B310" s="30" t="s">
        <v>45</v>
      </c>
      <c r="C310" s="30" t="s">
        <v>59</v>
      </c>
      <c r="D310" s="30" t="s">
        <v>436</v>
      </c>
      <c r="E310" s="30" t="n">
        <v>45</v>
      </c>
      <c r="F310" s="30"/>
      <c r="G310" s="30"/>
      <c r="H310" s="30" t="s">
        <v>458</v>
      </c>
      <c r="I310" s="30" t="s">
        <v>56</v>
      </c>
      <c r="J310" s="30"/>
      <c r="K310" s="30" t="s">
        <v>64</v>
      </c>
      <c r="L310" s="30" t="s">
        <v>57</v>
      </c>
      <c r="M310" s="30" t="n">
        <v>1968</v>
      </c>
      <c r="N310" s="30" t="s">
        <v>58</v>
      </c>
      <c r="O310" s="30" t="n">
        <v>5</v>
      </c>
      <c r="P310" s="30" t="n">
        <v>0</v>
      </c>
      <c r="Q310" s="30" t="n">
        <v>9</v>
      </c>
      <c r="R310" s="30" t="n">
        <v>165</v>
      </c>
      <c r="S310" s="30" t="n">
        <v>7864.4</v>
      </c>
      <c r="T310" s="30" t="n">
        <v>7864.4</v>
      </c>
      <c r="U310" s="30" t="n">
        <v>7452</v>
      </c>
      <c r="V310" s="30" t="n">
        <v>412.4</v>
      </c>
      <c r="W310" s="30" t="s">
        <v>53</v>
      </c>
      <c r="X310" s="30" t="s">
        <v>53</v>
      </c>
      <c r="Y310" s="30" t="s">
        <v>53</v>
      </c>
      <c r="Z310" s="30" t="s">
        <v>53</v>
      </c>
      <c r="AA310" s="30" t="s">
        <v>53</v>
      </c>
      <c r="AB310" s="30" t="s">
        <v>53</v>
      </c>
      <c r="AC310" s="30" t="s">
        <v>53</v>
      </c>
      <c r="AD310" s="30" t="s">
        <v>53</v>
      </c>
      <c r="AE310" s="30" t="s">
        <v>54</v>
      </c>
      <c r="AF310" s="30" t="n">
        <v>0</v>
      </c>
      <c r="AG310" s="30" t="n">
        <v>0</v>
      </c>
      <c r="AH310" s="30" t="n">
        <v>1</v>
      </c>
      <c r="AI310" s="30" t="n">
        <v>0</v>
      </c>
      <c r="AJ310" s="30" t="n">
        <v>2</v>
      </c>
      <c r="AK310" s="30" t="n">
        <v>0</v>
      </c>
      <c r="AL310" s="26"/>
    </row>
    <row collapsed="false" customFormat="false" customHeight="false" hidden="false" ht="14.5" outlineLevel="0" r="311">
      <c r="A311" s="30" t="n">
        <v>302</v>
      </c>
      <c r="B311" s="30" t="s">
        <v>45</v>
      </c>
      <c r="C311" s="30" t="s">
        <v>59</v>
      </c>
      <c r="D311" s="30" t="s">
        <v>436</v>
      </c>
      <c r="E311" s="30" t="n">
        <v>49</v>
      </c>
      <c r="F311" s="30" t="n">
        <v>1</v>
      </c>
      <c r="G311" s="30"/>
      <c r="H311" s="30" t="s">
        <v>459</v>
      </c>
      <c r="I311" s="30" t="s">
        <v>56</v>
      </c>
      <c r="J311" s="30"/>
      <c r="K311" s="30" t="s">
        <v>64</v>
      </c>
      <c r="L311" s="30" t="s">
        <v>57</v>
      </c>
      <c r="M311" s="30" t="n">
        <v>1966</v>
      </c>
      <c r="N311" s="30" t="s">
        <v>58</v>
      </c>
      <c r="O311" s="30" t="n">
        <v>5</v>
      </c>
      <c r="P311" s="30" t="n">
        <v>0</v>
      </c>
      <c r="Q311" s="30" t="n">
        <v>4</v>
      </c>
      <c r="R311" s="30" t="n">
        <v>80</v>
      </c>
      <c r="S311" s="30" t="n">
        <v>3509</v>
      </c>
      <c r="T311" s="30" t="n">
        <v>3509</v>
      </c>
      <c r="U311" s="30" t="n">
        <v>3509</v>
      </c>
      <c r="V311" s="30"/>
      <c r="W311" s="30" t="s">
        <v>53</v>
      </c>
      <c r="X311" s="30" t="s">
        <v>53</v>
      </c>
      <c r="Y311" s="30" t="s">
        <v>53</v>
      </c>
      <c r="Z311" s="30" t="s">
        <v>53</v>
      </c>
      <c r="AA311" s="30" t="s">
        <v>53</v>
      </c>
      <c r="AB311" s="30" t="s">
        <v>53</v>
      </c>
      <c r="AC311" s="30" t="s">
        <v>53</v>
      </c>
      <c r="AD311" s="30" t="s">
        <v>53</v>
      </c>
      <c r="AE311" s="30" t="s">
        <v>54</v>
      </c>
      <c r="AF311" s="30" t="n">
        <v>0</v>
      </c>
      <c r="AG311" s="30" t="n">
        <v>0</v>
      </c>
      <c r="AH311" s="30" t="n">
        <v>0</v>
      </c>
      <c r="AI311" s="30" t="n">
        <v>0</v>
      </c>
      <c r="AJ311" s="30" t="n">
        <v>1</v>
      </c>
      <c r="AK311" s="30" t="n">
        <v>0</v>
      </c>
      <c r="AL311" s="26"/>
    </row>
    <row collapsed="false" customFormat="false" customHeight="false" hidden="false" ht="14.5" outlineLevel="0" r="312">
      <c r="A312" s="30" t="n">
        <v>303</v>
      </c>
      <c r="B312" s="30" t="s">
        <v>45</v>
      </c>
      <c r="C312" s="30" t="s">
        <v>59</v>
      </c>
      <c r="D312" s="30" t="s">
        <v>436</v>
      </c>
      <c r="E312" s="30" t="n">
        <v>49</v>
      </c>
      <c r="F312" s="30" t="n">
        <v>3</v>
      </c>
      <c r="G312" s="30"/>
      <c r="H312" s="30" t="s">
        <v>460</v>
      </c>
      <c r="I312" s="30" t="s">
        <v>56</v>
      </c>
      <c r="J312" s="30"/>
      <c r="K312" s="30" t="s">
        <v>64</v>
      </c>
      <c r="L312" s="30" t="s">
        <v>57</v>
      </c>
      <c r="M312" s="30" t="n">
        <v>1967</v>
      </c>
      <c r="N312" s="30" t="s">
        <v>58</v>
      </c>
      <c r="O312" s="30" t="n">
        <v>9</v>
      </c>
      <c r="P312" s="30" t="n">
        <v>0</v>
      </c>
      <c r="Q312" s="30" t="n">
        <v>1</v>
      </c>
      <c r="R312" s="30" t="n">
        <v>45</v>
      </c>
      <c r="S312" s="30" t="n">
        <v>2003</v>
      </c>
      <c r="T312" s="30" t="n">
        <v>2003</v>
      </c>
      <c r="U312" s="30" t="n">
        <v>2003</v>
      </c>
      <c r="V312" s="30"/>
      <c r="W312" s="30" t="s">
        <v>53</v>
      </c>
      <c r="X312" s="30" t="s">
        <v>53</v>
      </c>
      <c r="Y312" s="30" t="s">
        <v>53</v>
      </c>
      <c r="Z312" s="30" t="s">
        <v>53</v>
      </c>
      <c r="AA312" s="30" t="s">
        <v>53</v>
      </c>
      <c r="AB312" s="30" t="s">
        <v>53</v>
      </c>
      <c r="AC312" s="30" t="s">
        <v>53</v>
      </c>
      <c r="AD312" s="30" t="s">
        <v>53</v>
      </c>
      <c r="AE312" s="30" t="s">
        <v>54</v>
      </c>
      <c r="AF312" s="30" t="n">
        <v>1</v>
      </c>
      <c r="AG312" s="30" t="n">
        <v>0</v>
      </c>
      <c r="AH312" s="30" t="n">
        <v>0</v>
      </c>
      <c r="AI312" s="30" t="n">
        <v>0</v>
      </c>
      <c r="AJ312" s="30" t="n">
        <v>1</v>
      </c>
      <c r="AK312" s="30" t="n">
        <v>0</v>
      </c>
      <c r="AL312" s="26"/>
    </row>
    <row collapsed="false" customFormat="false" customHeight="false" hidden="false" ht="14.5" outlineLevel="0" r="313">
      <c r="A313" s="30" t="n">
        <v>304</v>
      </c>
      <c r="B313" s="30" t="s">
        <v>45</v>
      </c>
      <c r="C313" s="30" t="s">
        <v>59</v>
      </c>
      <c r="D313" s="30" t="s">
        <v>436</v>
      </c>
      <c r="E313" s="30" t="n">
        <v>51</v>
      </c>
      <c r="F313" s="30" t="n">
        <v>1</v>
      </c>
      <c r="G313" s="30"/>
      <c r="H313" s="30" t="s">
        <v>461</v>
      </c>
      <c r="I313" s="30" t="s">
        <v>56</v>
      </c>
      <c r="J313" s="30"/>
      <c r="K313" s="30" t="s">
        <v>64</v>
      </c>
      <c r="L313" s="30" t="s">
        <v>57</v>
      </c>
      <c r="M313" s="30" t="n">
        <v>1966</v>
      </c>
      <c r="N313" s="30" t="s">
        <v>58</v>
      </c>
      <c r="O313" s="30" t="n">
        <v>5</v>
      </c>
      <c r="P313" s="30" t="n">
        <v>0</v>
      </c>
      <c r="Q313" s="30" t="n">
        <v>4</v>
      </c>
      <c r="R313" s="30" t="n">
        <v>80</v>
      </c>
      <c r="S313" s="30" t="n">
        <v>3501</v>
      </c>
      <c r="T313" s="30" t="n">
        <v>3501</v>
      </c>
      <c r="U313" s="30" t="n">
        <v>3501</v>
      </c>
      <c r="V313" s="30"/>
      <c r="W313" s="30" t="s">
        <v>53</v>
      </c>
      <c r="X313" s="30" t="s">
        <v>53</v>
      </c>
      <c r="Y313" s="30" t="s">
        <v>53</v>
      </c>
      <c r="Z313" s="30" t="s">
        <v>53</v>
      </c>
      <c r="AA313" s="30" t="s">
        <v>53</v>
      </c>
      <c r="AB313" s="30" t="s">
        <v>53</v>
      </c>
      <c r="AC313" s="30" t="s">
        <v>53</v>
      </c>
      <c r="AD313" s="30" t="s">
        <v>53</v>
      </c>
      <c r="AE313" s="30" t="s">
        <v>54</v>
      </c>
      <c r="AF313" s="30" t="n">
        <v>0</v>
      </c>
      <c r="AG313" s="30" t="n">
        <v>0</v>
      </c>
      <c r="AH313" s="30" t="n">
        <v>0</v>
      </c>
      <c r="AI313" s="30" t="n">
        <v>0</v>
      </c>
      <c r="AJ313" s="30" t="n">
        <v>1</v>
      </c>
      <c r="AK313" s="30" t="n">
        <v>0</v>
      </c>
      <c r="AL313" s="26"/>
    </row>
    <row collapsed="false" customFormat="false" customHeight="false" hidden="false" ht="14.5" outlineLevel="0" r="314">
      <c r="A314" s="30" t="n">
        <v>305</v>
      </c>
      <c r="B314" s="30" t="s">
        <v>45</v>
      </c>
      <c r="C314" s="30" t="s">
        <v>59</v>
      </c>
      <c r="D314" s="30" t="s">
        <v>436</v>
      </c>
      <c r="E314" s="30" t="n">
        <v>51</v>
      </c>
      <c r="F314" s="30" t="n">
        <v>2</v>
      </c>
      <c r="G314" s="30"/>
      <c r="H314" s="30" t="s">
        <v>462</v>
      </c>
      <c r="I314" s="30" t="s">
        <v>56</v>
      </c>
      <c r="J314" s="30"/>
      <c r="K314" s="30" t="s">
        <v>64</v>
      </c>
      <c r="L314" s="30" t="s">
        <v>57</v>
      </c>
      <c r="M314" s="30" t="n">
        <v>1966</v>
      </c>
      <c r="N314" s="30" t="s">
        <v>58</v>
      </c>
      <c r="O314" s="30" t="n">
        <v>5</v>
      </c>
      <c r="P314" s="30" t="n">
        <v>0</v>
      </c>
      <c r="Q314" s="30" t="n">
        <v>6</v>
      </c>
      <c r="R314" s="30" t="n">
        <v>120</v>
      </c>
      <c r="S314" s="30" t="n">
        <v>5309</v>
      </c>
      <c r="T314" s="30" t="n">
        <v>5309</v>
      </c>
      <c r="U314" s="30" t="n">
        <v>5309</v>
      </c>
      <c r="V314" s="30"/>
      <c r="W314" s="30" t="s">
        <v>53</v>
      </c>
      <c r="X314" s="30" t="s">
        <v>53</v>
      </c>
      <c r="Y314" s="30" t="s">
        <v>53</v>
      </c>
      <c r="Z314" s="30" t="s">
        <v>53</v>
      </c>
      <c r="AA314" s="30" t="s">
        <v>53</v>
      </c>
      <c r="AB314" s="30" t="s">
        <v>53</v>
      </c>
      <c r="AC314" s="30" t="s">
        <v>53</v>
      </c>
      <c r="AD314" s="30" t="s">
        <v>53</v>
      </c>
      <c r="AE314" s="30" t="s">
        <v>54</v>
      </c>
      <c r="AF314" s="30" t="n">
        <v>0</v>
      </c>
      <c r="AG314" s="30" t="n">
        <v>0</v>
      </c>
      <c r="AH314" s="30" t="n">
        <v>1</v>
      </c>
      <c r="AI314" s="30" t="n">
        <v>0</v>
      </c>
      <c r="AJ314" s="30" t="n">
        <v>1</v>
      </c>
      <c r="AK314" s="30" t="n">
        <v>0</v>
      </c>
      <c r="AL314" s="26"/>
    </row>
    <row collapsed="false" customFormat="false" customHeight="false" hidden="false" ht="14.5" outlineLevel="0" r="315">
      <c r="A315" s="30" t="n">
        <v>306</v>
      </c>
      <c r="B315" s="30" t="s">
        <v>45</v>
      </c>
      <c r="C315" s="30" t="s">
        <v>59</v>
      </c>
      <c r="D315" s="30" t="s">
        <v>436</v>
      </c>
      <c r="E315" s="30" t="n">
        <v>51</v>
      </c>
      <c r="F315" s="30" t="n">
        <v>3</v>
      </c>
      <c r="G315" s="30"/>
      <c r="H315" s="30" t="s">
        <v>463</v>
      </c>
      <c r="I315" s="30" t="s">
        <v>56</v>
      </c>
      <c r="J315" s="30"/>
      <c r="K315" s="30" t="s">
        <v>64</v>
      </c>
      <c r="L315" s="30" t="s">
        <v>57</v>
      </c>
      <c r="M315" s="30" t="n">
        <v>1967</v>
      </c>
      <c r="N315" s="30" t="s">
        <v>58</v>
      </c>
      <c r="O315" s="30" t="n">
        <v>9</v>
      </c>
      <c r="P315" s="30" t="n">
        <v>0</v>
      </c>
      <c r="Q315" s="30" t="n">
        <v>1</v>
      </c>
      <c r="R315" s="30" t="n">
        <v>45</v>
      </c>
      <c r="S315" s="30" t="n">
        <v>2096</v>
      </c>
      <c r="T315" s="30" t="n">
        <v>2096</v>
      </c>
      <c r="U315" s="30" t="n">
        <v>1991</v>
      </c>
      <c r="V315" s="30" t="n">
        <v>105</v>
      </c>
      <c r="W315" s="30" t="s">
        <v>53</v>
      </c>
      <c r="X315" s="30" t="s">
        <v>53</v>
      </c>
      <c r="Y315" s="30" t="s">
        <v>53</v>
      </c>
      <c r="Z315" s="30" t="s">
        <v>53</v>
      </c>
      <c r="AA315" s="30" t="s">
        <v>53</v>
      </c>
      <c r="AB315" s="30" t="s">
        <v>53</v>
      </c>
      <c r="AC315" s="30" t="s">
        <v>53</v>
      </c>
      <c r="AD315" s="30" t="s">
        <v>53</v>
      </c>
      <c r="AE315" s="30" t="s">
        <v>54</v>
      </c>
      <c r="AF315" s="30" t="n">
        <v>1</v>
      </c>
      <c r="AG315" s="30" t="n">
        <v>0</v>
      </c>
      <c r="AH315" s="30" t="n">
        <v>1</v>
      </c>
      <c r="AI315" s="30" t="n">
        <v>0</v>
      </c>
      <c r="AJ315" s="30" t="n">
        <v>1</v>
      </c>
      <c r="AK315" s="30" t="n">
        <v>0</v>
      </c>
      <c r="AL315" s="26"/>
    </row>
    <row collapsed="false" customFormat="false" customHeight="false" hidden="false" ht="14.5" outlineLevel="0" r="316">
      <c r="A316" s="30" t="n">
        <v>307</v>
      </c>
      <c r="B316" s="30" t="s">
        <v>45</v>
      </c>
      <c r="C316" s="30" t="s">
        <v>59</v>
      </c>
      <c r="D316" s="30" t="s">
        <v>436</v>
      </c>
      <c r="E316" s="30" t="n">
        <v>53</v>
      </c>
      <c r="F316" s="30" t="n">
        <v>1</v>
      </c>
      <c r="G316" s="30"/>
      <c r="H316" s="30" t="s">
        <v>464</v>
      </c>
      <c r="I316" s="30" t="s">
        <v>56</v>
      </c>
      <c r="J316" s="30"/>
      <c r="K316" s="30" t="s">
        <v>64</v>
      </c>
      <c r="L316" s="30" t="s">
        <v>57</v>
      </c>
      <c r="M316" s="30" t="n">
        <v>1966</v>
      </c>
      <c r="N316" s="30" t="s">
        <v>58</v>
      </c>
      <c r="O316" s="30" t="n">
        <v>5</v>
      </c>
      <c r="P316" s="30" t="n">
        <v>0</v>
      </c>
      <c r="Q316" s="30" t="n">
        <v>4</v>
      </c>
      <c r="R316" s="30" t="n">
        <v>78</v>
      </c>
      <c r="S316" s="30" t="n">
        <v>3474</v>
      </c>
      <c r="T316" s="30" t="n">
        <v>3474</v>
      </c>
      <c r="U316" s="30" t="n">
        <v>3474</v>
      </c>
      <c r="V316" s="30"/>
      <c r="W316" s="30" t="s">
        <v>53</v>
      </c>
      <c r="X316" s="30" t="s">
        <v>53</v>
      </c>
      <c r="Y316" s="30" t="s">
        <v>53</v>
      </c>
      <c r="Z316" s="30" t="s">
        <v>53</v>
      </c>
      <c r="AA316" s="30" t="s">
        <v>53</v>
      </c>
      <c r="AB316" s="30" t="s">
        <v>53</v>
      </c>
      <c r="AC316" s="30" t="s">
        <v>53</v>
      </c>
      <c r="AD316" s="30" t="s">
        <v>53</v>
      </c>
      <c r="AE316" s="30" t="s">
        <v>54</v>
      </c>
      <c r="AF316" s="30" t="n">
        <v>0</v>
      </c>
      <c r="AG316" s="30" t="n">
        <v>0</v>
      </c>
      <c r="AH316" s="30" t="n">
        <v>0</v>
      </c>
      <c r="AI316" s="30" t="n">
        <v>0</v>
      </c>
      <c r="AJ316" s="30" t="n">
        <v>1</v>
      </c>
      <c r="AK316" s="30" t="n">
        <v>0</v>
      </c>
      <c r="AL316" s="26"/>
    </row>
    <row collapsed="false" customFormat="false" customHeight="false" hidden="false" ht="14.5" outlineLevel="0" r="317">
      <c r="A317" s="30" t="n">
        <v>308</v>
      </c>
      <c r="B317" s="30" t="s">
        <v>45</v>
      </c>
      <c r="C317" s="30" t="s">
        <v>59</v>
      </c>
      <c r="D317" s="30" t="s">
        <v>436</v>
      </c>
      <c r="E317" s="30" t="n">
        <v>53</v>
      </c>
      <c r="F317" s="30" t="n">
        <v>2</v>
      </c>
      <c r="G317" s="30"/>
      <c r="H317" s="30" t="s">
        <v>465</v>
      </c>
      <c r="I317" s="30" t="s">
        <v>56</v>
      </c>
      <c r="J317" s="30"/>
      <c r="K317" s="30" t="s">
        <v>64</v>
      </c>
      <c r="L317" s="30" t="s">
        <v>57</v>
      </c>
      <c r="M317" s="30" t="n">
        <v>1966</v>
      </c>
      <c r="N317" s="30" t="s">
        <v>58</v>
      </c>
      <c r="O317" s="30" t="n">
        <v>5</v>
      </c>
      <c r="P317" s="30" t="n">
        <v>0</v>
      </c>
      <c r="Q317" s="30" t="n">
        <v>6</v>
      </c>
      <c r="R317" s="30" t="n">
        <v>119</v>
      </c>
      <c r="S317" s="30" t="n">
        <v>5364</v>
      </c>
      <c r="T317" s="30" t="n">
        <v>5364</v>
      </c>
      <c r="U317" s="30" t="n">
        <v>5364</v>
      </c>
      <c r="V317" s="30"/>
      <c r="W317" s="30" t="s">
        <v>53</v>
      </c>
      <c r="X317" s="30" t="s">
        <v>53</v>
      </c>
      <c r="Y317" s="30" t="s">
        <v>53</v>
      </c>
      <c r="Z317" s="30" t="s">
        <v>53</v>
      </c>
      <c r="AA317" s="30" t="s">
        <v>53</v>
      </c>
      <c r="AB317" s="30" t="s">
        <v>53</v>
      </c>
      <c r="AC317" s="30" t="s">
        <v>53</v>
      </c>
      <c r="AD317" s="30" t="s">
        <v>53</v>
      </c>
      <c r="AE317" s="30" t="s">
        <v>54</v>
      </c>
      <c r="AF317" s="30" t="n">
        <v>0</v>
      </c>
      <c r="AG317" s="30" t="n">
        <v>0</v>
      </c>
      <c r="AH317" s="30" t="n">
        <v>1</v>
      </c>
      <c r="AI317" s="30" t="n">
        <v>0</v>
      </c>
      <c r="AJ317" s="30" t="n">
        <v>1</v>
      </c>
      <c r="AK317" s="30" t="n">
        <v>0</v>
      </c>
      <c r="AL317" s="26"/>
    </row>
    <row collapsed="false" customFormat="false" customHeight="false" hidden="false" ht="14.5" outlineLevel="0" r="318">
      <c r="A318" s="30" t="n">
        <v>309</v>
      </c>
      <c r="B318" s="30" t="s">
        <v>45</v>
      </c>
      <c r="C318" s="30" t="s">
        <v>59</v>
      </c>
      <c r="D318" s="30" t="s">
        <v>436</v>
      </c>
      <c r="E318" s="30" t="n">
        <v>53</v>
      </c>
      <c r="F318" s="30" t="n">
        <v>3</v>
      </c>
      <c r="G318" s="30"/>
      <c r="H318" s="30" t="s">
        <v>466</v>
      </c>
      <c r="I318" s="30" t="s">
        <v>56</v>
      </c>
      <c r="J318" s="30"/>
      <c r="K318" s="30" t="s">
        <v>64</v>
      </c>
      <c r="L318" s="30" t="s">
        <v>57</v>
      </c>
      <c r="M318" s="30" t="n">
        <v>1967</v>
      </c>
      <c r="N318" s="30" t="s">
        <v>58</v>
      </c>
      <c r="O318" s="30" t="n">
        <v>9</v>
      </c>
      <c r="P318" s="30" t="n">
        <v>0</v>
      </c>
      <c r="Q318" s="30" t="n">
        <v>1</v>
      </c>
      <c r="R318" s="30" t="n">
        <v>45</v>
      </c>
      <c r="S318" s="30" t="n">
        <v>2090.7</v>
      </c>
      <c r="T318" s="30" t="n">
        <v>2090.7</v>
      </c>
      <c r="U318" s="30" t="n">
        <v>1986</v>
      </c>
      <c r="V318" s="30" t="n">
        <v>104.7</v>
      </c>
      <c r="W318" s="30" t="s">
        <v>53</v>
      </c>
      <c r="X318" s="30" t="s">
        <v>53</v>
      </c>
      <c r="Y318" s="30" t="s">
        <v>53</v>
      </c>
      <c r="Z318" s="30" t="s">
        <v>53</v>
      </c>
      <c r="AA318" s="30" t="s">
        <v>53</v>
      </c>
      <c r="AB318" s="30" t="s">
        <v>53</v>
      </c>
      <c r="AC318" s="30" t="s">
        <v>53</v>
      </c>
      <c r="AD318" s="30" t="s">
        <v>53</v>
      </c>
      <c r="AE318" s="30" t="s">
        <v>54</v>
      </c>
      <c r="AF318" s="30" t="n">
        <v>1</v>
      </c>
      <c r="AG318" s="30" t="n">
        <v>0</v>
      </c>
      <c r="AH318" s="30" t="n">
        <v>0</v>
      </c>
      <c r="AI318" s="30" t="n">
        <v>0</v>
      </c>
      <c r="AJ318" s="30" t="n">
        <v>1</v>
      </c>
      <c r="AK318" s="30" t="n">
        <v>0</v>
      </c>
      <c r="AL318" s="26"/>
    </row>
    <row collapsed="false" customFormat="false" customHeight="false" hidden="false" ht="14.5" outlineLevel="0" r="319">
      <c r="A319" s="30" t="n">
        <v>310</v>
      </c>
      <c r="B319" s="30" t="s">
        <v>45</v>
      </c>
      <c r="C319" s="30" t="s">
        <v>59</v>
      </c>
      <c r="D319" s="30" t="s">
        <v>436</v>
      </c>
      <c r="E319" s="30" t="n">
        <v>55</v>
      </c>
      <c r="F319" s="30" t="n">
        <v>1</v>
      </c>
      <c r="G319" s="30"/>
      <c r="H319" s="30" t="s">
        <v>467</v>
      </c>
      <c r="I319" s="30" t="s">
        <v>56</v>
      </c>
      <c r="J319" s="30"/>
      <c r="K319" s="30" t="s">
        <v>64</v>
      </c>
      <c r="L319" s="30" t="s">
        <v>57</v>
      </c>
      <c r="M319" s="30" t="n">
        <v>1967</v>
      </c>
      <c r="N319" s="30" t="s">
        <v>58</v>
      </c>
      <c r="O319" s="30" t="n">
        <v>5</v>
      </c>
      <c r="P319" s="30" t="n">
        <v>0</v>
      </c>
      <c r="Q319" s="30" t="n">
        <v>4</v>
      </c>
      <c r="R319" s="30" t="n">
        <v>80</v>
      </c>
      <c r="S319" s="30" t="n">
        <v>3501</v>
      </c>
      <c r="T319" s="30" t="n">
        <v>3501</v>
      </c>
      <c r="U319" s="30" t="n">
        <v>3501</v>
      </c>
      <c r="V319" s="30"/>
      <c r="W319" s="30" t="s">
        <v>53</v>
      </c>
      <c r="X319" s="30" t="s">
        <v>53</v>
      </c>
      <c r="Y319" s="30" t="s">
        <v>53</v>
      </c>
      <c r="Z319" s="30" t="s">
        <v>53</v>
      </c>
      <c r="AA319" s="30" t="s">
        <v>53</v>
      </c>
      <c r="AB319" s="30" t="s">
        <v>53</v>
      </c>
      <c r="AC319" s="30" t="s">
        <v>53</v>
      </c>
      <c r="AD319" s="30" t="s">
        <v>53</v>
      </c>
      <c r="AE319" s="30" t="s">
        <v>54</v>
      </c>
      <c r="AF319" s="30" t="n">
        <v>0</v>
      </c>
      <c r="AG319" s="30" t="n">
        <v>0</v>
      </c>
      <c r="AH319" s="30" t="n">
        <v>0</v>
      </c>
      <c r="AI319" s="30" t="n">
        <v>0</v>
      </c>
      <c r="AJ319" s="30" t="n">
        <v>1</v>
      </c>
      <c r="AK319" s="30" t="n">
        <v>0</v>
      </c>
      <c r="AL319" s="26"/>
    </row>
    <row collapsed="false" customFormat="false" customHeight="false" hidden="false" ht="14.5" outlineLevel="0" r="320">
      <c r="A320" s="30" t="n">
        <v>311</v>
      </c>
      <c r="B320" s="30" t="s">
        <v>45</v>
      </c>
      <c r="C320" s="30" t="s">
        <v>59</v>
      </c>
      <c r="D320" s="30" t="s">
        <v>436</v>
      </c>
      <c r="E320" s="30" t="n">
        <v>55</v>
      </c>
      <c r="F320" s="30" t="n">
        <v>2</v>
      </c>
      <c r="G320" s="30"/>
      <c r="H320" s="30" t="s">
        <v>468</v>
      </c>
      <c r="I320" s="30" t="s">
        <v>56</v>
      </c>
      <c r="J320" s="30"/>
      <c r="K320" s="30" t="s">
        <v>64</v>
      </c>
      <c r="L320" s="30" t="s">
        <v>57</v>
      </c>
      <c r="M320" s="30" t="n">
        <v>1966</v>
      </c>
      <c r="N320" s="30" t="s">
        <v>58</v>
      </c>
      <c r="O320" s="30" t="n">
        <v>5</v>
      </c>
      <c r="P320" s="30" t="n">
        <v>0</v>
      </c>
      <c r="Q320" s="30" t="n">
        <v>6</v>
      </c>
      <c r="R320" s="30" t="n">
        <v>120</v>
      </c>
      <c r="S320" s="30" t="n">
        <v>5391</v>
      </c>
      <c r="T320" s="30" t="n">
        <v>5391</v>
      </c>
      <c r="U320" s="30" t="n">
        <v>5391</v>
      </c>
      <c r="V320" s="30"/>
      <c r="W320" s="30" t="s">
        <v>53</v>
      </c>
      <c r="X320" s="30" t="s">
        <v>53</v>
      </c>
      <c r="Y320" s="30" t="s">
        <v>53</v>
      </c>
      <c r="Z320" s="30" t="s">
        <v>53</v>
      </c>
      <c r="AA320" s="30" t="s">
        <v>53</v>
      </c>
      <c r="AB320" s="30" t="s">
        <v>53</v>
      </c>
      <c r="AC320" s="30" t="s">
        <v>53</v>
      </c>
      <c r="AD320" s="30" t="s">
        <v>53</v>
      </c>
      <c r="AE320" s="30" t="s">
        <v>54</v>
      </c>
      <c r="AF320" s="30" t="n">
        <v>0</v>
      </c>
      <c r="AG320" s="30" t="n">
        <v>0</v>
      </c>
      <c r="AH320" s="30" t="n">
        <v>1</v>
      </c>
      <c r="AI320" s="30" t="n">
        <v>0</v>
      </c>
      <c r="AJ320" s="30" t="n">
        <v>1</v>
      </c>
      <c r="AK320" s="30" t="n">
        <v>0</v>
      </c>
      <c r="AL320" s="26"/>
    </row>
    <row collapsed="false" customFormat="false" customHeight="false" hidden="false" ht="14.5" outlineLevel="0" r="321">
      <c r="A321" s="30" t="n">
        <v>312</v>
      </c>
      <c r="B321" s="30" t="s">
        <v>45</v>
      </c>
      <c r="C321" s="30" t="s">
        <v>46</v>
      </c>
      <c r="D321" s="30" t="s">
        <v>469</v>
      </c>
      <c r="E321" s="30" t="n">
        <v>21</v>
      </c>
      <c r="F321" s="30"/>
      <c r="G321" s="30"/>
      <c r="H321" s="30" t="s">
        <v>470</v>
      </c>
      <c r="I321" s="30" t="s">
        <v>56</v>
      </c>
      <c r="J321" s="30"/>
      <c r="K321" s="30" t="s">
        <v>138</v>
      </c>
      <c r="L321" s="30" t="s">
        <v>57</v>
      </c>
      <c r="M321" s="30" t="n">
        <v>1978</v>
      </c>
      <c r="N321" s="30" t="s">
        <v>108</v>
      </c>
      <c r="O321" s="30" t="n">
        <v>9</v>
      </c>
      <c r="P321" s="30" t="n">
        <v>0</v>
      </c>
      <c r="Q321" s="30" t="n">
        <v>5</v>
      </c>
      <c r="R321" s="30" t="n">
        <v>179</v>
      </c>
      <c r="S321" s="30" t="n">
        <v>9832</v>
      </c>
      <c r="T321" s="30" t="n">
        <v>9832</v>
      </c>
      <c r="U321" s="30" t="n">
        <v>9787.2</v>
      </c>
      <c r="V321" s="30"/>
      <c r="W321" s="30" t="s">
        <v>53</v>
      </c>
      <c r="X321" s="30" t="s">
        <v>53</v>
      </c>
      <c r="Y321" s="30" t="s">
        <v>53</v>
      </c>
      <c r="Z321" s="30" t="s">
        <v>53</v>
      </c>
      <c r="AA321" s="30" t="s">
        <v>53</v>
      </c>
      <c r="AB321" s="30" t="s">
        <v>53</v>
      </c>
      <c r="AC321" s="30" t="s">
        <v>54</v>
      </c>
      <c r="AD321" s="30" t="s">
        <v>53</v>
      </c>
      <c r="AE321" s="30" t="s">
        <v>54</v>
      </c>
      <c r="AF321" s="30" t="n">
        <v>5</v>
      </c>
      <c r="AG321" s="30" t="n">
        <v>0</v>
      </c>
      <c r="AH321" s="30" t="n">
        <v>1</v>
      </c>
      <c r="AI321" s="30" t="n">
        <v>0</v>
      </c>
      <c r="AJ321" s="30" t="n">
        <v>2</v>
      </c>
      <c r="AK321" s="30" t="n">
        <v>0</v>
      </c>
      <c r="AL321" s="26"/>
    </row>
    <row collapsed="false" customFormat="false" customHeight="false" hidden="false" ht="14.5" outlineLevel="0" r="322">
      <c r="A322" s="30" t="n">
        <v>313</v>
      </c>
      <c r="B322" s="30" t="s">
        <v>45</v>
      </c>
      <c r="C322" s="30" t="s">
        <v>46</v>
      </c>
      <c r="D322" s="30" t="s">
        <v>469</v>
      </c>
      <c r="E322" s="30" t="n">
        <v>21</v>
      </c>
      <c r="F322" s="30" t="n">
        <v>2</v>
      </c>
      <c r="G322" s="30"/>
      <c r="H322" s="30" t="s">
        <v>471</v>
      </c>
      <c r="I322" s="30" t="s">
        <v>56</v>
      </c>
      <c r="J322" s="30"/>
      <c r="K322" s="30" t="s">
        <v>101</v>
      </c>
      <c r="L322" s="30" t="s">
        <v>51</v>
      </c>
      <c r="M322" s="30" t="n">
        <v>1980</v>
      </c>
      <c r="N322" s="30" t="s">
        <v>58</v>
      </c>
      <c r="O322" s="30" t="n">
        <v>9</v>
      </c>
      <c r="P322" s="30" t="n">
        <v>0</v>
      </c>
      <c r="Q322" s="30" t="n">
        <v>1</v>
      </c>
      <c r="R322" s="30" t="n">
        <v>54</v>
      </c>
      <c r="S322" s="30" t="n">
        <v>2962.3</v>
      </c>
      <c r="T322" s="30" t="n">
        <v>2962.3</v>
      </c>
      <c r="U322" s="30" t="n">
        <v>2640.5</v>
      </c>
      <c r="V322" s="30" t="n">
        <v>321.8</v>
      </c>
      <c r="W322" s="30" t="s">
        <v>53</v>
      </c>
      <c r="X322" s="30" t="s">
        <v>53</v>
      </c>
      <c r="Y322" s="30" t="s">
        <v>53</v>
      </c>
      <c r="Z322" s="30" t="s">
        <v>53</v>
      </c>
      <c r="AA322" s="30" t="s">
        <v>53</v>
      </c>
      <c r="AB322" s="30" t="s">
        <v>53</v>
      </c>
      <c r="AC322" s="30" t="s">
        <v>54</v>
      </c>
      <c r="AD322" s="30" t="s">
        <v>53</v>
      </c>
      <c r="AE322" s="30" t="s">
        <v>54</v>
      </c>
      <c r="AF322" s="30" t="n">
        <v>1</v>
      </c>
      <c r="AG322" s="30" t="n">
        <v>0</v>
      </c>
      <c r="AH322" s="30" t="n">
        <v>1</v>
      </c>
      <c r="AI322" s="30" t="n">
        <v>0</v>
      </c>
      <c r="AJ322" s="30" t="n">
        <v>1</v>
      </c>
      <c r="AK322" s="30" t="n">
        <v>0</v>
      </c>
      <c r="AL322" s="26"/>
    </row>
    <row collapsed="false" customFormat="false" customHeight="false" hidden="false" ht="14.5" outlineLevel="0" r="323">
      <c r="A323" s="30" t="n">
        <v>314</v>
      </c>
      <c r="B323" s="30" t="s">
        <v>45</v>
      </c>
      <c r="C323" s="30" t="s">
        <v>46</v>
      </c>
      <c r="D323" s="30" t="s">
        <v>469</v>
      </c>
      <c r="E323" s="30" t="n">
        <v>27</v>
      </c>
      <c r="F323" s="30"/>
      <c r="G323" s="30"/>
      <c r="H323" s="30" t="s">
        <v>472</v>
      </c>
      <c r="I323" s="30" t="s">
        <v>56</v>
      </c>
      <c r="J323" s="30"/>
      <c r="K323" s="30" t="s">
        <v>138</v>
      </c>
      <c r="L323" s="30" t="s">
        <v>57</v>
      </c>
      <c r="M323" s="30" t="n">
        <v>1978</v>
      </c>
      <c r="N323" s="30" t="s">
        <v>58</v>
      </c>
      <c r="O323" s="30" t="n">
        <v>5</v>
      </c>
      <c r="P323" s="30" t="n">
        <v>0</v>
      </c>
      <c r="Q323" s="30" t="n">
        <v>4</v>
      </c>
      <c r="R323" s="30" t="n">
        <v>60</v>
      </c>
      <c r="S323" s="30" t="n">
        <v>3230.7</v>
      </c>
      <c r="T323" s="30" t="n">
        <v>3230.7</v>
      </c>
      <c r="U323" s="30" t="n">
        <v>3230.7</v>
      </c>
      <c r="V323" s="30"/>
      <c r="W323" s="30" t="s">
        <v>53</v>
      </c>
      <c r="X323" s="30" t="s">
        <v>53</v>
      </c>
      <c r="Y323" s="30" t="s">
        <v>53</v>
      </c>
      <c r="Z323" s="30" t="s">
        <v>53</v>
      </c>
      <c r="AA323" s="30" t="s">
        <v>53</v>
      </c>
      <c r="AB323" s="30" t="s">
        <v>53</v>
      </c>
      <c r="AC323" s="30" t="s">
        <v>54</v>
      </c>
      <c r="AD323" s="30" t="s">
        <v>53</v>
      </c>
      <c r="AE323" s="30" t="s">
        <v>54</v>
      </c>
      <c r="AF323" s="30" t="n">
        <v>0</v>
      </c>
      <c r="AG323" s="30" t="n">
        <v>0</v>
      </c>
      <c r="AH323" s="30" t="n">
        <v>1</v>
      </c>
      <c r="AI323" s="30" t="n">
        <v>0</v>
      </c>
      <c r="AJ323" s="30" t="n">
        <v>1</v>
      </c>
      <c r="AK323" s="30" t="n">
        <v>0</v>
      </c>
      <c r="AL323" s="26"/>
    </row>
    <row collapsed="false" customFormat="false" customHeight="false" hidden="false" ht="14.5" outlineLevel="0" r="324">
      <c r="A324" s="30" t="n">
        <v>315</v>
      </c>
      <c r="B324" s="30" t="s">
        <v>45</v>
      </c>
      <c r="C324" s="30" t="s">
        <v>46</v>
      </c>
      <c r="D324" s="30" t="s">
        <v>469</v>
      </c>
      <c r="E324" s="30" t="n">
        <v>27</v>
      </c>
      <c r="F324" s="30" t="n">
        <v>2</v>
      </c>
      <c r="G324" s="30"/>
      <c r="H324" s="30" t="s">
        <v>473</v>
      </c>
      <c r="I324" s="30" t="s">
        <v>56</v>
      </c>
      <c r="J324" s="30"/>
      <c r="K324" s="30" t="s">
        <v>138</v>
      </c>
      <c r="L324" s="30" t="s">
        <v>57</v>
      </c>
      <c r="M324" s="30" t="n">
        <v>1981</v>
      </c>
      <c r="N324" s="30" t="s">
        <v>108</v>
      </c>
      <c r="O324" s="30" t="n">
        <v>5</v>
      </c>
      <c r="P324" s="30" t="n">
        <v>0</v>
      </c>
      <c r="Q324" s="30" t="n">
        <v>4</v>
      </c>
      <c r="R324" s="30" t="n">
        <v>60</v>
      </c>
      <c r="S324" s="30" t="n">
        <v>3244</v>
      </c>
      <c r="T324" s="30" t="n">
        <v>3244</v>
      </c>
      <c r="U324" s="30" t="n">
        <v>3244</v>
      </c>
      <c r="V324" s="30"/>
      <c r="W324" s="30" t="s">
        <v>53</v>
      </c>
      <c r="X324" s="30" t="s">
        <v>53</v>
      </c>
      <c r="Y324" s="30" t="s">
        <v>53</v>
      </c>
      <c r="Z324" s="30" t="s">
        <v>53</v>
      </c>
      <c r="AA324" s="30" t="s">
        <v>53</v>
      </c>
      <c r="AB324" s="30" t="s">
        <v>53</v>
      </c>
      <c r="AC324" s="30" t="s">
        <v>54</v>
      </c>
      <c r="AD324" s="30" t="s">
        <v>53</v>
      </c>
      <c r="AE324" s="30" t="s">
        <v>54</v>
      </c>
      <c r="AF324" s="30" t="n">
        <v>0</v>
      </c>
      <c r="AG324" s="30" t="n">
        <v>0</v>
      </c>
      <c r="AH324" s="30" t="n">
        <v>1</v>
      </c>
      <c r="AI324" s="30" t="n">
        <v>0</v>
      </c>
      <c r="AJ324" s="30" t="n">
        <v>1</v>
      </c>
      <c r="AK324" s="30" t="n">
        <v>0</v>
      </c>
      <c r="AL324" s="26"/>
    </row>
    <row collapsed="false" customFormat="false" customHeight="false" hidden="false" ht="14.5" outlineLevel="0" r="325">
      <c r="A325" s="30" t="n">
        <v>316</v>
      </c>
      <c r="B325" s="30" t="s">
        <v>45</v>
      </c>
      <c r="C325" s="30" t="s">
        <v>46</v>
      </c>
      <c r="D325" s="30" t="s">
        <v>469</v>
      </c>
      <c r="E325" s="30" t="n">
        <v>29</v>
      </c>
      <c r="F325" s="30"/>
      <c r="G325" s="30"/>
      <c r="H325" s="30" t="s">
        <v>474</v>
      </c>
      <c r="I325" s="30" t="s">
        <v>56</v>
      </c>
      <c r="J325" s="30"/>
      <c r="K325" s="30" t="s">
        <v>138</v>
      </c>
      <c r="L325" s="30" t="s">
        <v>57</v>
      </c>
      <c r="M325" s="30" t="n">
        <v>1978</v>
      </c>
      <c r="N325" s="30" t="s">
        <v>108</v>
      </c>
      <c r="O325" s="30" t="n">
        <v>5</v>
      </c>
      <c r="P325" s="30" t="n">
        <v>0</v>
      </c>
      <c r="Q325" s="30" t="n">
        <v>4</v>
      </c>
      <c r="R325" s="30" t="n">
        <v>60</v>
      </c>
      <c r="S325" s="30" t="n">
        <v>3253.4</v>
      </c>
      <c r="T325" s="30" t="n">
        <v>3253.4</v>
      </c>
      <c r="U325" s="30" t="n">
        <v>3253.4</v>
      </c>
      <c r="V325" s="30"/>
      <c r="W325" s="30" t="s">
        <v>53</v>
      </c>
      <c r="X325" s="30" t="s">
        <v>53</v>
      </c>
      <c r="Y325" s="30" t="s">
        <v>53</v>
      </c>
      <c r="Z325" s="30" t="s">
        <v>53</v>
      </c>
      <c r="AA325" s="30" t="s">
        <v>53</v>
      </c>
      <c r="AB325" s="30" t="s">
        <v>53</v>
      </c>
      <c r="AC325" s="30" t="s">
        <v>54</v>
      </c>
      <c r="AD325" s="30" t="s">
        <v>53</v>
      </c>
      <c r="AE325" s="30" t="s">
        <v>54</v>
      </c>
      <c r="AF325" s="30" t="n">
        <v>0</v>
      </c>
      <c r="AG325" s="30" t="n">
        <v>0</v>
      </c>
      <c r="AH325" s="30" t="n">
        <v>1</v>
      </c>
      <c r="AI325" s="30" t="n">
        <v>0</v>
      </c>
      <c r="AJ325" s="30" t="n">
        <v>1</v>
      </c>
      <c r="AK325" s="30" t="n">
        <v>0</v>
      </c>
      <c r="AL325" s="26"/>
    </row>
    <row collapsed="false" customFormat="false" customHeight="false" hidden="false" ht="14.5" outlineLevel="0" r="326">
      <c r="A326" s="30" t="n">
        <v>317</v>
      </c>
      <c r="B326" s="30" t="s">
        <v>45</v>
      </c>
      <c r="C326" s="30" t="s">
        <v>46</v>
      </c>
      <c r="D326" s="30" t="s">
        <v>469</v>
      </c>
      <c r="E326" s="30" t="n">
        <v>31</v>
      </c>
      <c r="F326" s="30"/>
      <c r="G326" s="30"/>
      <c r="H326" s="30" t="s">
        <v>475</v>
      </c>
      <c r="I326" s="30" t="s">
        <v>56</v>
      </c>
      <c r="J326" s="30"/>
      <c r="K326" s="30" t="s">
        <v>138</v>
      </c>
      <c r="L326" s="30" t="s">
        <v>57</v>
      </c>
      <c r="M326" s="30" t="n">
        <v>1989</v>
      </c>
      <c r="N326" s="30" t="s">
        <v>108</v>
      </c>
      <c r="O326" s="30" t="n">
        <v>9</v>
      </c>
      <c r="P326" s="30" t="n">
        <v>0</v>
      </c>
      <c r="Q326" s="30" t="n">
        <v>9</v>
      </c>
      <c r="R326" s="30" t="n">
        <v>275</v>
      </c>
      <c r="S326" s="30" t="n">
        <v>15643.7</v>
      </c>
      <c r="T326" s="30" t="n">
        <v>15643.7</v>
      </c>
      <c r="U326" s="30" t="n">
        <v>15625.9</v>
      </c>
      <c r="V326" s="30"/>
      <c r="W326" s="30" t="s">
        <v>53</v>
      </c>
      <c r="X326" s="30" t="s">
        <v>53</v>
      </c>
      <c r="Y326" s="30" t="s">
        <v>53</v>
      </c>
      <c r="Z326" s="30" t="s">
        <v>53</v>
      </c>
      <c r="AA326" s="30" t="s">
        <v>53</v>
      </c>
      <c r="AB326" s="30" t="s">
        <v>53</v>
      </c>
      <c r="AC326" s="30" t="s">
        <v>54</v>
      </c>
      <c r="AD326" s="30" t="s">
        <v>53</v>
      </c>
      <c r="AE326" s="30" t="s">
        <v>54</v>
      </c>
      <c r="AF326" s="30" t="n">
        <v>9</v>
      </c>
      <c r="AG326" s="30" t="n">
        <v>0</v>
      </c>
      <c r="AH326" s="30" t="n">
        <v>2</v>
      </c>
      <c r="AI326" s="30" t="n">
        <v>0</v>
      </c>
      <c r="AJ326" s="30" t="n">
        <v>2</v>
      </c>
      <c r="AK326" s="30" t="n">
        <v>0</v>
      </c>
      <c r="AL326" s="26"/>
    </row>
    <row collapsed="false" customFormat="false" customHeight="false" hidden="false" ht="14.5" outlineLevel="0" r="327">
      <c r="A327" s="30" t="n">
        <v>318</v>
      </c>
      <c r="B327" s="30" t="s">
        <v>45</v>
      </c>
      <c r="C327" s="30" t="s">
        <v>46</v>
      </c>
      <c r="D327" s="30" t="s">
        <v>469</v>
      </c>
      <c r="E327" s="30" t="n">
        <v>33</v>
      </c>
      <c r="F327" s="30" t="n">
        <v>1</v>
      </c>
      <c r="G327" s="30"/>
      <c r="H327" s="30" t="s">
        <v>476</v>
      </c>
      <c r="I327" s="30" t="s">
        <v>56</v>
      </c>
      <c r="J327" s="30"/>
      <c r="K327" s="30" t="s">
        <v>138</v>
      </c>
      <c r="L327" s="30" t="s">
        <v>57</v>
      </c>
      <c r="M327" s="30" t="n">
        <v>1993</v>
      </c>
      <c r="N327" s="30" t="s">
        <v>108</v>
      </c>
      <c r="O327" s="30" t="n">
        <v>9</v>
      </c>
      <c r="P327" s="30" t="n">
        <v>0</v>
      </c>
      <c r="Q327" s="30" t="n">
        <v>2</v>
      </c>
      <c r="R327" s="30" t="n">
        <v>72</v>
      </c>
      <c r="S327" s="30" t="n">
        <v>3141.9</v>
      </c>
      <c r="T327" s="30" t="n">
        <v>3141.9</v>
      </c>
      <c r="U327" s="30" t="n">
        <v>3124</v>
      </c>
      <c r="V327" s="30"/>
      <c r="W327" s="30" t="s">
        <v>53</v>
      </c>
      <c r="X327" s="30" t="s">
        <v>53</v>
      </c>
      <c r="Y327" s="30" t="s">
        <v>53</v>
      </c>
      <c r="Z327" s="30" t="s">
        <v>53</v>
      </c>
      <c r="AA327" s="30" t="s">
        <v>53</v>
      </c>
      <c r="AB327" s="30" t="s">
        <v>54</v>
      </c>
      <c r="AC327" s="30" t="s">
        <v>54</v>
      </c>
      <c r="AD327" s="30" t="s">
        <v>54</v>
      </c>
      <c r="AE327" s="30" t="s">
        <v>53</v>
      </c>
      <c r="AF327" s="30" t="n">
        <v>2</v>
      </c>
      <c r="AG327" s="30" t="n">
        <v>0</v>
      </c>
      <c r="AH327" s="30" t="n">
        <v>1</v>
      </c>
      <c r="AI327" s="30" t="n">
        <v>0</v>
      </c>
      <c r="AJ327" s="30" t="n">
        <v>1</v>
      </c>
      <c r="AK327" s="30" t="n">
        <v>0</v>
      </c>
      <c r="AL327" s="26"/>
    </row>
    <row collapsed="false" customFormat="false" customHeight="false" hidden="false" ht="14.5" outlineLevel="0" r="328">
      <c r="A328" s="30" t="n">
        <v>319</v>
      </c>
      <c r="B328" s="30" t="s">
        <v>45</v>
      </c>
      <c r="C328" s="30" t="s">
        <v>46</v>
      </c>
      <c r="D328" s="30" t="s">
        <v>469</v>
      </c>
      <c r="E328" s="30" t="n">
        <v>33</v>
      </c>
      <c r="F328" s="30" t="n">
        <v>2</v>
      </c>
      <c r="G328" s="30"/>
      <c r="H328" s="30" t="s">
        <v>477</v>
      </c>
      <c r="I328" s="30" t="s">
        <v>56</v>
      </c>
      <c r="J328" s="30"/>
      <c r="K328" s="30" t="s">
        <v>138</v>
      </c>
      <c r="L328" s="30" t="s">
        <v>57</v>
      </c>
      <c r="M328" s="30" t="n">
        <v>1994</v>
      </c>
      <c r="N328" s="30" t="s">
        <v>108</v>
      </c>
      <c r="O328" s="30" t="n">
        <v>9</v>
      </c>
      <c r="P328" s="30" t="n">
        <v>0</v>
      </c>
      <c r="Q328" s="30" t="n">
        <v>2</v>
      </c>
      <c r="R328" s="30" t="n">
        <v>54</v>
      </c>
      <c r="S328" s="30" t="n">
        <v>3167</v>
      </c>
      <c r="T328" s="30" t="n">
        <v>3167</v>
      </c>
      <c r="U328" s="30" t="n">
        <v>3148.3</v>
      </c>
      <c r="V328" s="30"/>
      <c r="W328" s="30" t="s">
        <v>53</v>
      </c>
      <c r="X328" s="30" t="s">
        <v>53</v>
      </c>
      <c r="Y328" s="30" t="s">
        <v>53</v>
      </c>
      <c r="Z328" s="30" t="s">
        <v>53</v>
      </c>
      <c r="AA328" s="30" t="s">
        <v>53</v>
      </c>
      <c r="AB328" s="30" t="s">
        <v>54</v>
      </c>
      <c r="AC328" s="30" t="s">
        <v>54</v>
      </c>
      <c r="AD328" s="30" t="s">
        <v>54</v>
      </c>
      <c r="AE328" s="30" t="s">
        <v>53</v>
      </c>
      <c r="AF328" s="30" t="n">
        <v>2</v>
      </c>
      <c r="AG328" s="30" t="n">
        <v>0</v>
      </c>
      <c r="AH328" s="30" t="n">
        <v>1</v>
      </c>
      <c r="AI328" s="30" t="n">
        <v>0</v>
      </c>
      <c r="AJ328" s="30" t="n">
        <v>1</v>
      </c>
      <c r="AK328" s="30" t="n">
        <v>0</v>
      </c>
      <c r="AL328" s="26"/>
    </row>
    <row collapsed="false" customFormat="false" customHeight="false" hidden="false" ht="14.5" outlineLevel="0" r="329">
      <c r="A329" s="30" t="n">
        <v>320</v>
      </c>
      <c r="B329" s="30" t="s">
        <v>45</v>
      </c>
      <c r="C329" s="30" t="s">
        <v>46</v>
      </c>
      <c r="D329" s="30" t="s">
        <v>469</v>
      </c>
      <c r="E329" s="30" t="n">
        <v>33</v>
      </c>
      <c r="F329" s="30" t="n">
        <v>3</v>
      </c>
      <c r="G329" s="30"/>
      <c r="H329" s="30" t="s">
        <v>478</v>
      </c>
      <c r="I329" s="30" t="s">
        <v>56</v>
      </c>
      <c r="J329" s="30"/>
      <c r="K329" s="30" t="s">
        <v>138</v>
      </c>
      <c r="L329" s="30" t="s">
        <v>57</v>
      </c>
      <c r="M329" s="30" t="n">
        <v>1994</v>
      </c>
      <c r="N329" s="30" t="s">
        <v>108</v>
      </c>
      <c r="O329" s="30" t="n">
        <v>9</v>
      </c>
      <c r="P329" s="30" t="n">
        <v>0</v>
      </c>
      <c r="Q329" s="30" t="n">
        <v>1</v>
      </c>
      <c r="R329" s="30" t="n">
        <v>36</v>
      </c>
      <c r="S329" s="30" t="n">
        <v>1563.4</v>
      </c>
      <c r="T329" s="30" t="n">
        <v>1563.4</v>
      </c>
      <c r="U329" s="30" t="n">
        <v>1547.4</v>
      </c>
      <c r="V329" s="30"/>
      <c r="W329" s="30" t="s">
        <v>53</v>
      </c>
      <c r="X329" s="30" t="s">
        <v>53</v>
      </c>
      <c r="Y329" s="30" t="s">
        <v>53</v>
      </c>
      <c r="Z329" s="30" t="s">
        <v>53</v>
      </c>
      <c r="AA329" s="30" t="s">
        <v>53</v>
      </c>
      <c r="AB329" s="30" t="s">
        <v>54</v>
      </c>
      <c r="AC329" s="30" t="s">
        <v>54</v>
      </c>
      <c r="AD329" s="30" t="s">
        <v>54</v>
      </c>
      <c r="AE329" s="30" t="s">
        <v>53</v>
      </c>
      <c r="AF329" s="30" t="n">
        <v>1</v>
      </c>
      <c r="AG329" s="30" t="n">
        <v>0</v>
      </c>
      <c r="AH329" s="30" t="n">
        <v>1</v>
      </c>
      <c r="AI329" s="30" t="n">
        <v>0</v>
      </c>
      <c r="AJ329" s="30" t="n">
        <v>0</v>
      </c>
      <c r="AK329" s="30" t="n">
        <v>0</v>
      </c>
      <c r="AL329" s="26"/>
    </row>
    <row collapsed="false" customFormat="false" customHeight="false" hidden="false" ht="14.5" outlineLevel="0" r="330">
      <c r="A330" s="30" t="n">
        <v>321</v>
      </c>
      <c r="B330" s="30" t="s">
        <v>45</v>
      </c>
      <c r="C330" s="30" t="s">
        <v>46</v>
      </c>
      <c r="D330" s="30" t="s">
        <v>469</v>
      </c>
      <c r="E330" s="30" t="n">
        <v>37</v>
      </c>
      <c r="F330" s="30" t="n">
        <v>1</v>
      </c>
      <c r="G330" s="30"/>
      <c r="H330" s="30" t="s">
        <v>479</v>
      </c>
      <c r="I330" s="30" t="s">
        <v>56</v>
      </c>
      <c r="J330" s="30"/>
      <c r="K330" s="30" t="s">
        <v>138</v>
      </c>
      <c r="L330" s="30" t="s">
        <v>57</v>
      </c>
      <c r="M330" s="30" t="n">
        <v>1982</v>
      </c>
      <c r="N330" s="30" t="s">
        <v>108</v>
      </c>
      <c r="O330" s="30" t="n">
        <v>9</v>
      </c>
      <c r="P330" s="30" t="n">
        <v>0</v>
      </c>
      <c r="Q330" s="30" t="n">
        <v>10</v>
      </c>
      <c r="R330" s="30" t="n">
        <v>358</v>
      </c>
      <c r="S330" s="30" t="n">
        <v>17418.4</v>
      </c>
      <c r="T330" s="30" t="n">
        <v>17418.4</v>
      </c>
      <c r="U330" s="30" t="n">
        <v>17400.5</v>
      </c>
      <c r="V330" s="30"/>
      <c r="W330" s="30" t="s">
        <v>53</v>
      </c>
      <c r="X330" s="30" t="s">
        <v>53</v>
      </c>
      <c r="Y330" s="30" t="s">
        <v>53</v>
      </c>
      <c r="Z330" s="30" t="s">
        <v>53</v>
      </c>
      <c r="AA330" s="30" t="s">
        <v>53</v>
      </c>
      <c r="AB330" s="30" t="s">
        <v>53</v>
      </c>
      <c r="AC330" s="30" t="s">
        <v>54</v>
      </c>
      <c r="AD330" s="30" t="s">
        <v>53</v>
      </c>
      <c r="AE330" s="30" t="s">
        <v>54</v>
      </c>
      <c r="AF330" s="30" t="n">
        <v>10</v>
      </c>
      <c r="AG330" s="30" t="n">
        <v>0</v>
      </c>
      <c r="AH330" s="30" t="n">
        <v>1</v>
      </c>
      <c r="AI330" s="30" t="n">
        <v>0</v>
      </c>
      <c r="AJ330" s="30" t="n">
        <v>3</v>
      </c>
      <c r="AK330" s="30" t="n">
        <v>0</v>
      </c>
      <c r="AL330" s="26"/>
    </row>
    <row collapsed="false" customFormat="false" customHeight="false" hidden="false" ht="14.5" outlineLevel="0" r="331">
      <c r="A331" s="30" t="n">
        <v>322</v>
      </c>
      <c r="B331" s="30" t="s">
        <v>45</v>
      </c>
      <c r="C331" s="30" t="s">
        <v>46</v>
      </c>
      <c r="D331" s="30" t="s">
        <v>469</v>
      </c>
      <c r="E331" s="30" t="n">
        <v>37</v>
      </c>
      <c r="F331" s="30" t="n">
        <v>2</v>
      </c>
      <c r="G331" s="30"/>
      <c r="H331" s="30" t="s">
        <v>480</v>
      </c>
      <c r="I331" s="30" t="s">
        <v>56</v>
      </c>
      <c r="J331" s="30"/>
      <c r="K331" s="30" t="s">
        <v>138</v>
      </c>
      <c r="L331" s="30" t="s">
        <v>57</v>
      </c>
      <c r="M331" s="30" t="n">
        <v>1983</v>
      </c>
      <c r="N331" s="30" t="s">
        <v>108</v>
      </c>
      <c r="O331" s="30" t="n">
        <v>5</v>
      </c>
      <c r="P331" s="30" t="n">
        <v>0</v>
      </c>
      <c r="Q331" s="30" t="n">
        <v>5</v>
      </c>
      <c r="R331" s="30" t="n">
        <v>75</v>
      </c>
      <c r="S331" s="30" t="n">
        <v>3445.5</v>
      </c>
      <c r="T331" s="30" t="n">
        <v>3445.5</v>
      </c>
      <c r="U331" s="30" t="n">
        <v>3445.5</v>
      </c>
      <c r="V331" s="30"/>
      <c r="W331" s="30" t="s">
        <v>53</v>
      </c>
      <c r="X331" s="30" t="s">
        <v>53</v>
      </c>
      <c r="Y331" s="30" t="s">
        <v>53</v>
      </c>
      <c r="Z331" s="30" t="s">
        <v>53</v>
      </c>
      <c r="AA331" s="30" t="s">
        <v>53</v>
      </c>
      <c r="AB331" s="30" t="s">
        <v>53</v>
      </c>
      <c r="AC331" s="30" t="s">
        <v>54</v>
      </c>
      <c r="AD331" s="30" t="s">
        <v>53</v>
      </c>
      <c r="AE331" s="30" t="s">
        <v>54</v>
      </c>
      <c r="AF331" s="30" t="n">
        <v>0</v>
      </c>
      <c r="AG331" s="30" t="n">
        <v>0</v>
      </c>
      <c r="AH331" s="30" t="n">
        <v>1</v>
      </c>
      <c r="AI331" s="30" t="n">
        <v>0</v>
      </c>
      <c r="AJ331" s="30" t="n">
        <v>1</v>
      </c>
      <c r="AK331" s="30" t="n">
        <v>0</v>
      </c>
      <c r="AL331" s="26"/>
    </row>
    <row collapsed="false" customFormat="false" customHeight="false" hidden="false" ht="14.5" outlineLevel="0" r="332">
      <c r="A332" s="30" t="n">
        <v>323</v>
      </c>
      <c r="B332" s="30" t="s">
        <v>45</v>
      </c>
      <c r="C332" s="30" t="s">
        <v>46</v>
      </c>
      <c r="D332" s="30" t="s">
        <v>469</v>
      </c>
      <c r="E332" s="30" t="n">
        <v>37</v>
      </c>
      <c r="F332" s="30" t="n">
        <v>3</v>
      </c>
      <c r="G332" s="30"/>
      <c r="H332" s="30" t="s">
        <v>481</v>
      </c>
      <c r="I332" s="30" t="s">
        <v>56</v>
      </c>
      <c r="J332" s="30"/>
      <c r="K332" s="30" t="s">
        <v>138</v>
      </c>
      <c r="L332" s="30" t="s">
        <v>57</v>
      </c>
      <c r="M332" s="30" t="n">
        <v>1983</v>
      </c>
      <c r="N332" s="30" t="s">
        <v>108</v>
      </c>
      <c r="O332" s="30" t="n">
        <v>5</v>
      </c>
      <c r="P332" s="30" t="n">
        <v>0</v>
      </c>
      <c r="Q332" s="30" t="n">
        <v>5</v>
      </c>
      <c r="R332" s="30" t="n">
        <v>75</v>
      </c>
      <c r="S332" s="30" t="n">
        <v>3498.3</v>
      </c>
      <c r="T332" s="30" t="n">
        <v>3498.3</v>
      </c>
      <c r="U332" s="30" t="n">
        <v>3498.3</v>
      </c>
      <c r="V332" s="30"/>
      <c r="W332" s="30" t="s">
        <v>53</v>
      </c>
      <c r="X332" s="30" t="s">
        <v>53</v>
      </c>
      <c r="Y332" s="30" t="s">
        <v>53</v>
      </c>
      <c r="Z332" s="30" t="s">
        <v>53</v>
      </c>
      <c r="AA332" s="30" t="s">
        <v>53</v>
      </c>
      <c r="AB332" s="30" t="s">
        <v>53</v>
      </c>
      <c r="AC332" s="30" t="s">
        <v>54</v>
      </c>
      <c r="AD332" s="30" t="s">
        <v>53</v>
      </c>
      <c r="AE332" s="30" t="s">
        <v>54</v>
      </c>
      <c r="AF332" s="30" t="n">
        <v>0</v>
      </c>
      <c r="AG332" s="30" t="n">
        <v>0</v>
      </c>
      <c r="AH332" s="30" t="n">
        <v>1</v>
      </c>
      <c r="AI332" s="30" t="n">
        <v>0</v>
      </c>
      <c r="AJ332" s="30" t="n">
        <v>1</v>
      </c>
      <c r="AK332" s="30" t="n">
        <v>0</v>
      </c>
      <c r="AL332" s="26"/>
    </row>
    <row collapsed="false" customFormat="false" customHeight="false" hidden="false" ht="14.5" outlineLevel="0" r="333">
      <c r="A333" s="30" t="n">
        <v>324</v>
      </c>
      <c r="B333" s="30" t="s">
        <v>45</v>
      </c>
      <c r="C333" s="30" t="s">
        <v>46</v>
      </c>
      <c r="D333" s="30" t="s">
        <v>469</v>
      </c>
      <c r="E333" s="30" t="n">
        <v>39</v>
      </c>
      <c r="F333" s="30" t="n">
        <v>2</v>
      </c>
      <c r="G333" s="30"/>
      <c r="H333" s="30" t="s">
        <v>482</v>
      </c>
      <c r="I333" s="30" t="s">
        <v>56</v>
      </c>
      <c r="J333" s="30"/>
      <c r="K333" s="30" t="s">
        <v>138</v>
      </c>
      <c r="L333" s="30" t="s">
        <v>57</v>
      </c>
      <c r="M333" s="30" t="n">
        <v>1982</v>
      </c>
      <c r="N333" s="30" t="s">
        <v>108</v>
      </c>
      <c r="O333" s="30" t="n">
        <v>9</v>
      </c>
      <c r="P333" s="30" t="n">
        <v>0</v>
      </c>
      <c r="Q333" s="30" t="n">
        <v>8</v>
      </c>
      <c r="R333" s="30" t="n">
        <v>287</v>
      </c>
      <c r="S333" s="30" t="n">
        <v>14116.9</v>
      </c>
      <c r="T333" s="30" t="n">
        <v>14116.9</v>
      </c>
      <c r="U333" s="30" t="n">
        <v>14099.8</v>
      </c>
      <c r="V333" s="30"/>
      <c r="W333" s="30" t="s">
        <v>53</v>
      </c>
      <c r="X333" s="30" t="s">
        <v>53</v>
      </c>
      <c r="Y333" s="30" t="s">
        <v>53</v>
      </c>
      <c r="Z333" s="30" t="s">
        <v>53</v>
      </c>
      <c r="AA333" s="30" t="s">
        <v>53</v>
      </c>
      <c r="AB333" s="30" t="s">
        <v>53</v>
      </c>
      <c r="AC333" s="30" t="s">
        <v>54</v>
      </c>
      <c r="AD333" s="30" t="s">
        <v>53</v>
      </c>
      <c r="AE333" s="30" t="s">
        <v>54</v>
      </c>
      <c r="AF333" s="30" t="n">
        <v>8</v>
      </c>
      <c r="AG333" s="30" t="n">
        <v>0</v>
      </c>
      <c r="AH333" s="30" t="n">
        <v>1</v>
      </c>
      <c r="AI333" s="30" t="n">
        <v>0</v>
      </c>
      <c r="AJ333" s="30" t="n">
        <v>3</v>
      </c>
      <c r="AK333" s="30" t="n">
        <v>0</v>
      </c>
      <c r="AL333" s="26"/>
    </row>
    <row collapsed="false" customFormat="false" customHeight="false" hidden="false" ht="14.5" outlineLevel="0" r="334">
      <c r="A334" s="30" t="n">
        <v>325</v>
      </c>
      <c r="B334" s="30" t="s">
        <v>45</v>
      </c>
      <c r="C334" s="30" t="s">
        <v>46</v>
      </c>
      <c r="D334" s="30" t="s">
        <v>469</v>
      </c>
      <c r="E334" s="30" t="n">
        <v>43</v>
      </c>
      <c r="F334" s="30" t="n">
        <v>1</v>
      </c>
      <c r="G334" s="30"/>
      <c r="H334" s="30" t="s">
        <v>483</v>
      </c>
      <c r="I334" s="30" t="s">
        <v>56</v>
      </c>
      <c r="J334" s="30"/>
      <c r="K334" s="30" t="s">
        <v>138</v>
      </c>
      <c r="L334" s="30" t="s">
        <v>57</v>
      </c>
      <c r="M334" s="30" t="n">
        <v>1997</v>
      </c>
      <c r="N334" s="30" t="s">
        <v>108</v>
      </c>
      <c r="O334" s="30" t="n">
        <v>9</v>
      </c>
      <c r="P334" s="30" t="n">
        <v>0</v>
      </c>
      <c r="Q334" s="30" t="n">
        <v>1</v>
      </c>
      <c r="R334" s="30" t="n">
        <v>36</v>
      </c>
      <c r="S334" s="30" t="n">
        <v>2204.1</v>
      </c>
      <c r="T334" s="30" t="n">
        <v>2204.1</v>
      </c>
      <c r="U334" s="30" t="n">
        <v>2152.2</v>
      </c>
      <c r="V334" s="30" t="n">
        <v>51.9</v>
      </c>
      <c r="W334" s="30" t="s">
        <v>53</v>
      </c>
      <c r="X334" s="30" t="s">
        <v>53</v>
      </c>
      <c r="Y334" s="30" t="s">
        <v>53</v>
      </c>
      <c r="Z334" s="30" t="s">
        <v>53</v>
      </c>
      <c r="AA334" s="30" t="s">
        <v>53</v>
      </c>
      <c r="AB334" s="30" t="s">
        <v>54</v>
      </c>
      <c r="AC334" s="30" t="s">
        <v>54</v>
      </c>
      <c r="AD334" s="30" t="s">
        <v>54</v>
      </c>
      <c r="AE334" s="30" t="s">
        <v>53</v>
      </c>
      <c r="AF334" s="30" t="n">
        <v>1</v>
      </c>
      <c r="AG334" s="30" t="n">
        <v>0</v>
      </c>
      <c r="AH334" s="30" t="n">
        <v>1</v>
      </c>
      <c r="AI334" s="30" t="n">
        <v>0</v>
      </c>
      <c r="AJ334" s="30" t="n">
        <v>1</v>
      </c>
      <c r="AK334" s="30" t="n">
        <v>0</v>
      </c>
      <c r="AL334" s="26"/>
    </row>
    <row collapsed="false" customFormat="false" customHeight="false" hidden="false" ht="14.5" outlineLevel="0" r="335">
      <c r="A335" s="30" t="n">
        <v>326</v>
      </c>
      <c r="B335" s="30" t="s">
        <v>45</v>
      </c>
      <c r="C335" s="30" t="s">
        <v>46</v>
      </c>
      <c r="D335" s="30" t="s">
        <v>469</v>
      </c>
      <c r="E335" s="30" t="n">
        <v>43</v>
      </c>
      <c r="F335" s="30" t="n">
        <v>2</v>
      </c>
      <c r="G335" s="30"/>
      <c r="H335" s="30" t="s">
        <v>484</v>
      </c>
      <c r="I335" s="30" t="s">
        <v>56</v>
      </c>
      <c r="J335" s="30"/>
      <c r="K335" s="30" t="s">
        <v>138</v>
      </c>
      <c r="L335" s="30" t="s">
        <v>57</v>
      </c>
      <c r="M335" s="30" t="n">
        <v>1997</v>
      </c>
      <c r="N335" s="30" t="s">
        <v>108</v>
      </c>
      <c r="O335" s="30" t="n">
        <v>9</v>
      </c>
      <c r="P335" s="30" t="n">
        <v>0</v>
      </c>
      <c r="Q335" s="30" t="n">
        <v>1</v>
      </c>
      <c r="R335" s="30" t="n">
        <v>36</v>
      </c>
      <c r="S335" s="30" t="n">
        <v>1623.8</v>
      </c>
      <c r="T335" s="30" t="n">
        <v>1623.8</v>
      </c>
      <c r="U335" s="30" t="n">
        <v>1580.5</v>
      </c>
      <c r="V335" s="30"/>
      <c r="W335" s="30" t="s">
        <v>53</v>
      </c>
      <c r="X335" s="30" t="s">
        <v>53</v>
      </c>
      <c r="Y335" s="30" t="s">
        <v>53</v>
      </c>
      <c r="Z335" s="30" t="s">
        <v>53</v>
      </c>
      <c r="AA335" s="30" t="s">
        <v>53</v>
      </c>
      <c r="AB335" s="30" t="s">
        <v>54</v>
      </c>
      <c r="AC335" s="30" t="s">
        <v>54</v>
      </c>
      <c r="AD335" s="30" t="s">
        <v>54</v>
      </c>
      <c r="AE335" s="30" t="s">
        <v>53</v>
      </c>
      <c r="AF335" s="30" t="n">
        <v>1</v>
      </c>
      <c r="AG335" s="30" t="n">
        <v>0</v>
      </c>
      <c r="AH335" s="30" t="n">
        <v>1</v>
      </c>
      <c r="AI335" s="30" t="n">
        <v>0</v>
      </c>
      <c r="AJ335" s="30" t="n">
        <v>0</v>
      </c>
      <c r="AK335" s="30" t="n">
        <v>0</v>
      </c>
      <c r="AL335" s="26"/>
    </row>
    <row collapsed="false" customFormat="false" customHeight="false" hidden="false" ht="14.5" outlineLevel="0" r="336">
      <c r="A336" s="30" t="n">
        <v>327</v>
      </c>
      <c r="B336" s="30" t="s">
        <v>45</v>
      </c>
      <c r="C336" s="30" t="s">
        <v>46</v>
      </c>
      <c r="D336" s="30" t="s">
        <v>469</v>
      </c>
      <c r="E336" s="30" t="n">
        <v>43</v>
      </c>
      <c r="F336" s="30" t="n">
        <v>3</v>
      </c>
      <c r="G336" s="30"/>
      <c r="H336" s="30" t="s">
        <v>485</v>
      </c>
      <c r="I336" s="30" t="s">
        <v>56</v>
      </c>
      <c r="J336" s="30"/>
      <c r="K336" s="30" t="s">
        <v>138</v>
      </c>
      <c r="L336" s="30" t="s">
        <v>57</v>
      </c>
      <c r="M336" s="30" t="n">
        <v>1998</v>
      </c>
      <c r="N336" s="30" t="s">
        <v>58</v>
      </c>
      <c r="O336" s="30" t="n">
        <v>9</v>
      </c>
      <c r="P336" s="30" t="n">
        <v>0</v>
      </c>
      <c r="Q336" s="30" t="n">
        <v>2</v>
      </c>
      <c r="R336" s="30" t="n">
        <v>72</v>
      </c>
      <c r="S336" s="30" t="n">
        <v>4150.3</v>
      </c>
      <c r="T336" s="30" t="n">
        <v>4150.3</v>
      </c>
      <c r="U336" s="30" t="n">
        <v>4137.9</v>
      </c>
      <c r="V336" s="30"/>
      <c r="W336" s="30" t="s">
        <v>53</v>
      </c>
      <c r="X336" s="30" t="s">
        <v>53</v>
      </c>
      <c r="Y336" s="30" t="s">
        <v>53</v>
      </c>
      <c r="Z336" s="30" t="s">
        <v>53</v>
      </c>
      <c r="AA336" s="30" t="s">
        <v>53</v>
      </c>
      <c r="AB336" s="30" t="s">
        <v>53</v>
      </c>
      <c r="AC336" s="30" t="s">
        <v>54</v>
      </c>
      <c r="AD336" s="30" t="s">
        <v>53</v>
      </c>
      <c r="AE336" s="30" t="s">
        <v>54</v>
      </c>
      <c r="AF336" s="30" t="n">
        <v>2</v>
      </c>
      <c r="AG336" s="30" t="n">
        <v>0</v>
      </c>
      <c r="AH336" s="30" t="n">
        <v>1</v>
      </c>
      <c r="AI336" s="30" t="n">
        <v>0</v>
      </c>
      <c r="AJ336" s="30" t="n">
        <v>1</v>
      </c>
      <c r="AK336" s="30" t="n">
        <v>0</v>
      </c>
      <c r="AL336" s="26"/>
    </row>
    <row collapsed="false" customFormat="false" customHeight="false" hidden="false" ht="14.5" outlineLevel="0" r="337">
      <c r="A337" s="30" t="n">
        <v>328</v>
      </c>
      <c r="B337" s="30" t="s">
        <v>45</v>
      </c>
      <c r="C337" s="30" t="s">
        <v>46</v>
      </c>
      <c r="D337" s="30" t="s">
        <v>469</v>
      </c>
      <c r="E337" s="30" t="n">
        <v>45</v>
      </c>
      <c r="F337" s="30" t="n">
        <v>3</v>
      </c>
      <c r="G337" s="30"/>
      <c r="H337" s="30" t="s">
        <v>486</v>
      </c>
      <c r="I337" s="30" t="s">
        <v>56</v>
      </c>
      <c r="J337" s="30"/>
      <c r="K337" s="30" t="s">
        <v>138</v>
      </c>
      <c r="L337" s="30" t="s">
        <v>57</v>
      </c>
      <c r="M337" s="30" t="n">
        <v>1984</v>
      </c>
      <c r="N337" s="30" t="s">
        <v>108</v>
      </c>
      <c r="O337" s="30" t="n">
        <v>5</v>
      </c>
      <c r="P337" s="30" t="n">
        <v>0</v>
      </c>
      <c r="Q337" s="30" t="n">
        <v>5</v>
      </c>
      <c r="R337" s="30" t="n">
        <v>74</v>
      </c>
      <c r="S337" s="30" t="n">
        <v>4123.5</v>
      </c>
      <c r="T337" s="30" t="n">
        <v>4123.5</v>
      </c>
      <c r="U337" s="30" t="n">
        <v>3468.2</v>
      </c>
      <c r="V337" s="30" t="n">
        <v>655.3</v>
      </c>
      <c r="W337" s="30" t="s">
        <v>53</v>
      </c>
      <c r="X337" s="30" t="s">
        <v>53</v>
      </c>
      <c r="Y337" s="30" t="s">
        <v>53</v>
      </c>
      <c r="Z337" s="30" t="s">
        <v>53</v>
      </c>
      <c r="AA337" s="30" t="s">
        <v>53</v>
      </c>
      <c r="AB337" s="30" t="s">
        <v>53</v>
      </c>
      <c r="AC337" s="30" t="s">
        <v>54</v>
      </c>
      <c r="AD337" s="30" t="s">
        <v>53</v>
      </c>
      <c r="AE337" s="30" t="s">
        <v>54</v>
      </c>
      <c r="AF337" s="30" t="n">
        <v>0</v>
      </c>
      <c r="AG337" s="30" t="n">
        <v>0</v>
      </c>
      <c r="AH337" s="30" t="n">
        <v>1</v>
      </c>
      <c r="AI337" s="30" t="n">
        <v>0</v>
      </c>
      <c r="AJ337" s="30" t="n">
        <v>1</v>
      </c>
      <c r="AK337" s="30" t="n">
        <v>0</v>
      </c>
      <c r="AL337" s="26"/>
    </row>
    <row collapsed="false" customFormat="false" customHeight="false" hidden="false" ht="14.5" outlineLevel="0" r="338">
      <c r="A338" s="30" t="n">
        <v>329</v>
      </c>
      <c r="B338" s="30" t="s">
        <v>45</v>
      </c>
      <c r="C338" s="30" t="s">
        <v>46</v>
      </c>
      <c r="D338" s="30" t="s">
        <v>469</v>
      </c>
      <c r="E338" s="30" t="n">
        <v>47</v>
      </c>
      <c r="F338" s="30"/>
      <c r="G338" s="30"/>
      <c r="H338" s="30" t="s">
        <v>487</v>
      </c>
      <c r="I338" s="30" t="s">
        <v>56</v>
      </c>
      <c r="J338" s="30"/>
      <c r="K338" s="30" t="s">
        <v>138</v>
      </c>
      <c r="L338" s="30" t="s">
        <v>57</v>
      </c>
      <c r="M338" s="30" t="n">
        <v>1996</v>
      </c>
      <c r="N338" s="30" t="s">
        <v>108</v>
      </c>
      <c r="O338" s="30" t="n">
        <v>9</v>
      </c>
      <c r="P338" s="30" t="n">
        <v>0</v>
      </c>
      <c r="Q338" s="30" t="n">
        <v>2</v>
      </c>
      <c r="R338" s="30" t="n">
        <v>70</v>
      </c>
      <c r="S338" s="30" t="n">
        <v>3808</v>
      </c>
      <c r="T338" s="30" t="n">
        <v>3808</v>
      </c>
      <c r="U338" s="30" t="n">
        <v>3750.7</v>
      </c>
      <c r="V338" s="30" t="n">
        <v>57.3</v>
      </c>
      <c r="W338" s="30" t="s">
        <v>53</v>
      </c>
      <c r="X338" s="30" t="s">
        <v>53</v>
      </c>
      <c r="Y338" s="30" t="s">
        <v>53</v>
      </c>
      <c r="Z338" s="30" t="s">
        <v>53</v>
      </c>
      <c r="AA338" s="30" t="s">
        <v>53</v>
      </c>
      <c r="AB338" s="30" t="s">
        <v>54</v>
      </c>
      <c r="AC338" s="30" t="s">
        <v>54</v>
      </c>
      <c r="AD338" s="30" t="s">
        <v>54</v>
      </c>
      <c r="AE338" s="30" t="s">
        <v>53</v>
      </c>
      <c r="AF338" s="30" t="n">
        <v>2</v>
      </c>
      <c r="AG338" s="30" t="n">
        <v>0</v>
      </c>
      <c r="AH338" s="30" t="n">
        <v>1</v>
      </c>
      <c r="AI338" s="30" t="n">
        <v>0</v>
      </c>
      <c r="AJ338" s="30" t="n">
        <v>1</v>
      </c>
      <c r="AK338" s="30" t="n">
        <v>0</v>
      </c>
      <c r="AL338" s="26"/>
    </row>
    <row collapsed="false" customFormat="false" customHeight="false" hidden="false" ht="14.5" outlineLevel="0" r="339">
      <c r="A339" s="30" t="n">
        <v>330</v>
      </c>
      <c r="B339" s="30" t="s">
        <v>45</v>
      </c>
      <c r="C339" s="30" t="s">
        <v>46</v>
      </c>
      <c r="D339" s="30" t="s">
        <v>469</v>
      </c>
      <c r="E339" s="30" t="n">
        <v>49</v>
      </c>
      <c r="F339" s="30" t="n">
        <v>1</v>
      </c>
      <c r="G339" s="30"/>
      <c r="H339" s="30" t="s">
        <v>488</v>
      </c>
      <c r="I339" s="30" t="s">
        <v>56</v>
      </c>
      <c r="J339" s="30"/>
      <c r="K339" s="30" t="s">
        <v>138</v>
      </c>
      <c r="L339" s="30" t="s">
        <v>57</v>
      </c>
      <c r="M339" s="30" t="n">
        <v>1983</v>
      </c>
      <c r="N339" s="30" t="s">
        <v>108</v>
      </c>
      <c r="O339" s="30" t="n">
        <v>9</v>
      </c>
      <c r="P339" s="30" t="n">
        <v>0</v>
      </c>
      <c r="Q339" s="30" t="n">
        <v>9</v>
      </c>
      <c r="R339" s="30" t="n">
        <v>323</v>
      </c>
      <c r="S339" s="30" t="n">
        <v>16031.6</v>
      </c>
      <c r="T339" s="30" t="n">
        <v>16031.6</v>
      </c>
      <c r="U339" s="30" t="n">
        <v>16013.7</v>
      </c>
      <c r="V339" s="30"/>
      <c r="W339" s="30" t="s">
        <v>53</v>
      </c>
      <c r="X339" s="30" t="s">
        <v>53</v>
      </c>
      <c r="Y339" s="30" t="s">
        <v>53</v>
      </c>
      <c r="Z339" s="30" t="s">
        <v>53</v>
      </c>
      <c r="AA339" s="30" t="s">
        <v>53</v>
      </c>
      <c r="AB339" s="30" t="s">
        <v>53</v>
      </c>
      <c r="AC339" s="30" t="s">
        <v>54</v>
      </c>
      <c r="AD339" s="30" t="s">
        <v>53</v>
      </c>
      <c r="AE339" s="30" t="s">
        <v>54</v>
      </c>
      <c r="AF339" s="30" t="n">
        <v>9</v>
      </c>
      <c r="AG339" s="30" t="n">
        <v>0</v>
      </c>
      <c r="AH339" s="30" t="n">
        <v>1</v>
      </c>
      <c r="AI339" s="30" t="n">
        <v>0</v>
      </c>
      <c r="AJ339" s="30" t="n">
        <v>3</v>
      </c>
      <c r="AK339" s="30" t="n">
        <v>0</v>
      </c>
      <c r="AL339" s="26"/>
    </row>
    <row collapsed="false" customFormat="false" customHeight="false" hidden="false" ht="14.5" outlineLevel="0" r="340">
      <c r="A340" s="30" t="n">
        <v>331</v>
      </c>
      <c r="B340" s="30" t="s">
        <v>45</v>
      </c>
      <c r="C340" s="30" t="s">
        <v>59</v>
      </c>
      <c r="D340" s="30" t="s">
        <v>489</v>
      </c>
      <c r="E340" s="30" t="n">
        <v>15</v>
      </c>
      <c r="F340" s="30"/>
      <c r="G340" s="30"/>
      <c r="H340" s="30" t="s">
        <v>490</v>
      </c>
      <c r="I340" s="30" t="s">
        <v>56</v>
      </c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 t="n">
        <v>275</v>
      </c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26"/>
    </row>
    <row collapsed="false" customFormat="false" customHeight="true" hidden="false" ht="20.25" outlineLevel="0" r="341">
      <c r="A341" s="30" t="n">
        <v>332</v>
      </c>
      <c r="B341" s="30" t="s">
        <v>45</v>
      </c>
      <c r="C341" s="30" t="s">
        <v>206</v>
      </c>
      <c r="D341" s="30" t="s">
        <v>491</v>
      </c>
      <c r="E341" s="30" t="n">
        <v>1</v>
      </c>
      <c r="F341" s="30"/>
      <c r="G341" s="30"/>
      <c r="H341" s="30" t="s">
        <v>492</v>
      </c>
      <c r="I341" s="30" t="s">
        <v>56</v>
      </c>
      <c r="J341" s="30"/>
      <c r="K341" s="30" t="s">
        <v>64</v>
      </c>
      <c r="L341" s="30"/>
      <c r="M341" s="30" t="n">
        <v>1960</v>
      </c>
      <c r="N341" s="30" t="s">
        <v>58</v>
      </c>
      <c r="O341" s="30" t="n">
        <v>3</v>
      </c>
      <c r="P341" s="30" t="n">
        <v>0</v>
      </c>
      <c r="Q341" s="30" t="n">
        <v>3</v>
      </c>
      <c r="R341" s="30" t="n">
        <v>36</v>
      </c>
      <c r="S341" s="30" t="n">
        <v>1508.16</v>
      </c>
      <c r="T341" s="30" t="n">
        <v>1508.16</v>
      </c>
      <c r="U341" s="30" t="n">
        <v>1508.16</v>
      </c>
      <c r="V341" s="30"/>
      <c r="W341" s="30" t="s">
        <v>53</v>
      </c>
      <c r="X341" s="30" t="s">
        <v>53</v>
      </c>
      <c r="Y341" s="30" t="s">
        <v>54</v>
      </c>
      <c r="Z341" s="30" t="s">
        <v>53</v>
      </c>
      <c r="AA341" s="30" t="s">
        <v>53</v>
      </c>
      <c r="AB341" s="30" t="s">
        <v>53</v>
      </c>
      <c r="AC341" s="30" t="s">
        <v>53</v>
      </c>
      <c r="AD341" s="30" t="s">
        <v>53</v>
      </c>
      <c r="AE341" s="30" t="s">
        <v>54</v>
      </c>
      <c r="AF341" s="30" t="n">
        <v>0</v>
      </c>
      <c r="AG341" s="30" t="n">
        <v>0</v>
      </c>
      <c r="AH341" s="30" t="n">
        <v>0</v>
      </c>
      <c r="AI341" s="30" t="n">
        <v>0</v>
      </c>
      <c r="AJ341" s="30" t="n">
        <v>1</v>
      </c>
      <c r="AK341" s="30" t="n">
        <v>0</v>
      </c>
      <c r="AL341" s="26"/>
    </row>
    <row collapsed="false" customFormat="false" customHeight="false" hidden="false" ht="14.5" outlineLevel="0" r="342">
      <c r="A342" s="30" t="n">
        <v>333</v>
      </c>
      <c r="B342" s="30" t="s">
        <v>45</v>
      </c>
      <c r="C342" s="30" t="s">
        <v>206</v>
      </c>
      <c r="D342" s="30" t="s">
        <v>491</v>
      </c>
      <c r="E342" s="30" t="n">
        <v>2</v>
      </c>
      <c r="F342" s="30"/>
      <c r="G342" s="30"/>
      <c r="H342" s="30" t="s">
        <v>493</v>
      </c>
      <c r="I342" s="30" t="s">
        <v>56</v>
      </c>
      <c r="J342" s="30"/>
      <c r="K342" s="30" t="s">
        <v>101</v>
      </c>
      <c r="L342" s="30"/>
      <c r="M342" s="30" t="n">
        <v>1985</v>
      </c>
      <c r="N342" s="30" t="s">
        <v>58</v>
      </c>
      <c r="O342" s="30" t="s">
        <v>494</v>
      </c>
      <c r="P342" s="30" t="n">
        <v>0</v>
      </c>
      <c r="Q342" s="30" t="n">
        <v>7</v>
      </c>
      <c r="R342" s="30" t="n">
        <v>141</v>
      </c>
      <c r="S342" s="30" t="n">
        <v>7971</v>
      </c>
      <c r="T342" s="30" t="n">
        <v>7971</v>
      </c>
      <c r="U342" s="30" t="n">
        <v>6839.6</v>
      </c>
      <c r="V342" s="30" t="n">
        <v>1131.4</v>
      </c>
      <c r="W342" s="30" t="s">
        <v>53</v>
      </c>
      <c r="X342" s="30" t="s">
        <v>53</v>
      </c>
      <c r="Y342" s="30" t="s">
        <v>53</v>
      </c>
      <c r="Z342" s="30" t="s">
        <v>53</v>
      </c>
      <c r="AA342" s="30" t="s">
        <v>53</v>
      </c>
      <c r="AB342" s="30" t="s">
        <v>53</v>
      </c>
      <c r="AC342" s="30" t="s">
        <v>54</v>
      </c>
      <c r="AD342" s="30" t="s">
        <v>53</v>
      </c>
      <c r="AE342" s="30" t="s">
        <v>54</v>
      </c>
      <c r="AF342" s="30" t="n">
        <v>5</v>
      </c>
      <c r="AG342" s="30" t="n">
        <v>0</v>
      </c>
      <c r="AH342" s="30" t="n">
        <v>2</v>
      </c>
      <c r="AI342" s="30" t="n">
        <v>2</v>
      </c>
      <c r="AJ342" s="30" t="n">
        <v>2</v>
      </c>
      <c r="AK342" s="30" t="n">
        <v>0</v>
      </c>
      <c r="AL342" s="26"/>
    </row>
    <row collapsed="false" customFormat="false" customHeight="true" hidden="false" ht="22.5" outlineLevel="0" r="343">
      <c r="A343" s="30" t="n">
        <v>334</v>
      </c>
      <c r="B343" s="30" t="s">
        <v>45</v>
      </c>
      <c r="C343" s="30" t="s">
        <v>206</v>
      </c>
      <c r="D343" s="30" t="s">
        <v>491</v>
      </c>
      <c r="E343" s="30" t="n">
        <v>3</v>
      </c>
      <c r="F343" s="30"/>
      <c r="G343" s="30"/>
      <c r="H343" s="30" t="s">
        <v>495</v>
      </c>
      <c r="I343" s="30" t="s">
        <v>56</v>
      </c>
      <c r="J343" s="30"/>
      <c r="K343" s="30" t="s">
        <v>64</v>
      </c>
      <c r="L343" s="30"/>
      <c r="M343" s="30" t="n">
        <v>1960</v>
      </c>
      <c r="N343" s="30" t="s">
        <v>58</v>
      </c>
      <c r="O343" s="30" t="n">
        <v>3</v>
      </c>
      <c r="P343" s="30"/>
      <c r="Q343" s="30" t="n">
        <v>2</v>
      </c>
      <c r="R343" s="30" t="n">
        <v>24</v>
      </c>
      <c r="S343" s="30" t="n">
        <v>949.1</v>
      </c>
      <c r="T343" s="30" t="n">
        <v>949.1</v>
      </c>
      <c r="U343" s="30" t="n">
        <v>949.1</v>
      </c>
      <c r="V343" s="30"/>
      <c r="W343" s="30" t="s">
        <v>53</v>
      </c>
      <c r="X343" s="30" t="s">
        <v>53</v>
      </c>
      <c r="Y343" s="30" t="s">
        <v>54</v>
      </c>
      <c r="Z343" s="30" t="s">
        <v>53</v>
      </c>
      <c r="AA343" s="30" t="s">
        <v>53</v>
      </c>
      <c r="AB343" s="30" t="s">
        <v>53</v>
      </c>
      <c r="AC343" s="30" t="s">
        <v>53</v>
      </c>
      <c r="AD343" s="30" t="s">
        <v>53</v>
      </c>
      <c r="AE343" s="30" t="s">
        <v>54</v>
      </c>
      <c r="AF343" s="30" t="n">
        <v>0</v>
      </c>
      <c r="AG343" s="30" t="n">
        <v>0</v>
      </c>
      <c r="AH343" s="30" t="n">
        <v>0</v>
      </c>
      <c r="AI343" s="30" t="n">
        <v>0</v>
      </c>
      <c r="AJ343" s="30" t="n">
        <v>1</v>
      </c>
      <c r="AK343" s="30" t="n">
        <v>0</v>
      </c>
      <c r="AL343" s="26"/>
    </row>
    <row collapsed="false" customFormat="false" customHeight="true" hidden="false" ht="20.25" outlineLevel="0" r="344">
      <c r="A344" s="30" t="n">
        <v>335</v>
      </c>
      <c r="B344" s="30" t="s">
        <v>45</v>
      </c>
      <c r="C344" s="30" t="s">
        <v>206</v>
      </c>
      <c r="D344" s="30" t="s">
        <v>491</v>
      </c>
      <c r="E344" s="30" t="n">
        <v>4</v>
      </c>
      <c r="F344" s="30" t="n">
        <v>1</v>
      </c>
      <c r="G344" s="30"/>
      <c r="H344" s="30" t="s">
        <v>496</v>
      </c>
      <c r="I344" s="30" t="s">
        <v>56</v>
      </c>
      <c r="J344" s="30"/>
      <c r="K344" s="30" t="s">
        <v>101</v>
      </c>
      <c r="L344" s="30"/>
      <c r="M344" s="30" t="n">
        <v>1992</v>
      </c>
      <c r="N344" s="30" t="s">
        <v>58</v>
      </c>
      <c r="O344" s="30" t="s">
        <v>494</v>
      </c>
      <c r="P344" s="30" t="n">
        <v>0</v>
      </c>
      <c r="Q344" s="30" t="n">
        <v>3</v>
      </c>
      <c r="R344" s="30" t="n">
        <v>82</v>
      </c>
      <c r="S344" s="30" t="n">
        <v>4163.4</v>
      </c>
      <c r="T344" s="30" t="n">
        <v>4163.4</v>
      </c>
      <c r="U344" s="30" t="n">
        <v>4163.4</v>
      </c>
      <c r="V344" s="30"/>
      <c r="W344" s="30" t="s">
        <v>53</v>
      </c>
      <c r="X344" s="30" t="s">
        <v>53</v>
      </c>
      <c r="Y344" s="30" t="s">
        <v>53</v>
      </c>
      <c r="Z344" s="30" t="s">
        <v>53</v>
      </c>
      <c r="AA344" s="30" t="s">
        <v>53</v>
      </c>
      <c r="AB344" s="30" t="s">
        <v>53</v>
      </c>
      <c r="AC344" s="30" t="s">
        <v>54</v>
      </c>
      <c r="AD344" s="30" t="s">
        <v>53</v>
      </c>
      <c r="AE344" s="30" t="s">
        <v>54</v>
      </c>
      <c r="AF344" s="30" t="n">
        <v>3</v>
      </c>
      <c r="AG344" s="30" t="n">
        <v>0</v>
      </c>
      <c r="AH344" s="30" t="n">
        <v>1</v>
      </c>
      <c r="AI344" s="30" t="n">
        <v>1</v>
      </c>
      <c r="AJ344" s="30" t="n">
        <v>1</v>
      </c>
      <c r="AK344" s="30" t="n">
        <v>0</v>
      </c>
      <c r="AL344" s="26"/>
    </row>
    <row collapsed="false" customFormat="false" customHeight="false" hidden="false" ht="14.5" outlineLevel="0" r="345">
      <c r="A345" s="30" t="n">
        <v>336</v>
      </c>
      <c r="B345" s="30" t="s">
        <v>45</v>
      </c>
      <c r="C345" s="30" t="s">
        <v>206</v>
      </c>
      <c r="D345" s="30" t="s">
        <v>491</v>
      </c>
      <c r="E345" s="30" t="n">
        <v>4</v>
      </c>
      <c r="F345" s="30" t="n">
        <v>2</v>
      </c>
      <c r="G345" s="30"/>
      <c r="H345" s="30" t="s">
        <v>497</v>
      </c>
      <c r="I345" s="30" t="s">
        <v>56</v>
      </c>
      <c r="J345" s="30"/>
      <c r="K345" s="30" t="s">
        <v>101</v>
      </c>
      <c r="L345" s="30"/>
      <c r="M345" s="30" t="n">
        <v>1990</v>
      </c>
      <c r="N345" s="30" t="s">
        <v>58</v>
      </c>
      <c r="O345" s="30" t="s">
        <v>494</v>
      </c>
      <c r="P345" s="30" t="n">
        <v>0</v>
      </c>
      <c r="Q345" s="30" t="n">
        <v>3</v>
      </c>
      <c r="R345" s="30" t="n">
        <v>83</v>
      </c>
      <c r="S345" s="30" t="n">
        <v>4313.5</v>
      </c>
      <c r="T345" s="30" t="n">
        <v>4313.5</v>
      </c>
      <c r="U345" s="30" t="n">
        <v>4180.1</v>
      </c>
      <c r="V345" s="30" t="n">
        <v>133.4</v>
      </c>
      <c r="W345" s="30" t="s">
        <v>53</v>
      </c>
      <c r="X345" s="30" t="s">
        <v>53</v>
      </c>
      <c r="Y345" s="30" t="s">
        <v>53</v>
      </c>
      <c r="Z345" s="30" t="s">
        <v>53</v>
      </c>
      <c r="AA345" s="30" t="s">
        <v>53</v>
      </c>
      <c r="AB345" s="30" t="s">
        <v>53</v>
      </c>
      <c r="AC345" s="30" t="s">
        <v>54</v>
      </c>
      <c r="AD345" s="30" t="s">
        <v>53</v>
      </c>
      <c r="AE345" s="30" t="s">
        <v>54</v>
      </c>
      <c r="AF345" s="30" t="n">
        <v>3</v>
      </c>
      <c r="AG345" s="30" t="n">
        <v>0</v>
      </c>
      <c r="AH345" s="30" t="n">
        <v>1</v>
      </c>
      <c r="AI345" s="30" t="n">
        <v>1</v>
      </c>
      <c r="AJ345" s="30" t="n">
        <v>1</v>
      </c>
      <c r="AK345" s="30" t="n">
        <v>0</v>
      </c>
      <c r="AL345" s="26"/>
    </row>
    <row collapsed="false" customFormat="false" customHeight="false" hidden="false" ht="14.5" outlineLevel="0" r="346">
      <c r="A346" s="30" t="n">
        <v>337</v>
      </c>
      <c r="B346" s="30" t="s">
        <v>45</v>
      </c>
      <c r="C346" s="30" t="s">
        <v>206</v>
      </c>
      <c r="D346" s="30" t="s">
        <v>491</v>
      </c>
      <c r="E346" s="30" t="n">
        <v>5</v>
      </c>
      <c r="F346" s="30"/>
      <c r="G346" s="30"/>
      <c r="H346" s="30" t="s">
        <v>498</v>
      </c>
      <c r="I346" s="30" t="s">
        <v>56</v>
      </c>
      <c r="J346" s="30"/>
      <c r="K346" s="30" t="s">
        <v>64</v>
      </c>
      <c r="L346" s="30"/>
      <c r="M346" s="30" t="n">
        <v>1961</v>
      </c>
      <c r="N346" s="30" t="s">
        <v>58</v>
      </c>
      <c r="O346" s="30" t="n">
        <v>3</v>
      </c>
      <c r="P346" s="30" t="n">
        <v>0</v>
      </c>
      <c r="Q346" s="30" t="n">
        <v>2</v>
      </c>
      <c r="R346" s="30" t="n">
        <v>23</v>
      </c>
      <c r="S346" s="30" t="n">
        <v>967.6</v>
      </c>
      <c r="T346" s="30" t="n">
        <v>967.6</v>
      </c>
      <c r="U346" s="30" t="n">
        <v>967.6</v>
      </c>
      <c r="V346" s="30"/>
      <c r="W346" s="30" t="s">
        <v>53</v>
      </c>
      <c r="X346" s="30" t="s">
        <v>53</v>
      </c>
      <c r="Y346" s="30" t="s">
        <v>54</v>
      </c>
      <c r="Z346" s="30" t="s">
        <v>53</v>
      </c>
      <c r="AA346" s="30" t="s">
        <v>53</v>
      </c>
      <c r="AB346" s="30" t="s">
        <v>53</v>
      </c>
      <c r="AC346" s="30" t="s">
        <v>53</v>
      </c>
      <c r="AD346" s="30" t="s">
        <v>53</v>
      </c>
      <c r="AE346" s="30" t="s">
        <v>54</v>
      </c>
      <c r="AF346" s="30" t="n">
        <v>0</v>
      </c>
      <c r="AG346" s="30" t="n">
        <v>0</v>
      </c>
      <c r="AH346" s="30"/>
      <c r="AI346" s="30" t="n">
        <v>0</v>
      </c>
      <c r="AJ346" s="30" t="n">
        <v>1</v>
      </c>
      <c r="AK346" s="30" t="n">
        <v>0</v>
      </c>
      <c r="AL346" s="26"/>
    </row>
    <row collapsed="false" customFormat="false" customHeight="false" hidden="false" ht="14.5" outlineLevel="0" r="347">
      <c r="A347" s="30" t="n">
        <v>338</v>
      </c>
      <c r="B347" s="30" t="s">
        <v>45</v>
      </c>
      <c r="C347" s="30" t="s">
        <v>59</v>
      </c>
      <c r="D347" s="30" t="s">
        <v>499</v>
      </c>
      <c r="E347" s="30" t="s">
        <v>500</v>
      </c>
      <c r="F347" s="30"/>
      <c r="G347" s="30"/>
      <c r="H347" s="30" t="s">
        <v>501</v>
      </c>
      <c r="I347" s="30" t="s">
        <v>56</v>
      </c>
      <c r="J347" s="30"/>
      <c r="K347" s="30" t="s">
        <v>57</v>
      </c>
      <c r="L347" s="30" t="s">
        <v>57</v>
      </c>
      <c r="M347" s="30" t="n">
        <v>1917</v>
      </c>
      <c r="N347" s="30" t="s">
        <v>58</v>
      </c>
      <c r="O347" s="30" t="n">
        <v>2</v>
      </c>
      <c r="P347" s="30" t="n">
        <v>0</v>
      </c>
      <c r="Q347" s="30" t="n">
        <v>2</v>
      </c>
      <c r="R347" s="30" t="n">
        <v>9</v>
      </c>
      <c r="S347" s="30" t="n">
        <v>683.3</v>
      </c>
      <c r="T347" s="30" t="n">
        <v>683.3</v>
      </c>
      <c r="U347" s="30" t="n">
        <v>532</v>
      </c>
      <c r="V347" s="30" t="n">
        <v>151.3</v>
      </c>
      <c r="W347" s="30" t="s">
        <v>53</v>
      </c>
      <c r="X347" s="30" t="s">
        <v>53</v>
      </c>
      <c r="Y347" s="30" t="s">
        <v>53</v>
      </c>
      <c r="Z347" s="30" t="s">
        <v>53</v>
      </c>
      <c r="AA347" s="30" t="s">
        <v>53</v>
      </c>
      <c r="AB347" s="30" t="s">
        <v>53</v>
      </c>
      <c r="AC347" s="30" t="s">
        <v>53</v>
      </c>
      <c r="AD347" s="30" t="s">
        <v>53</v>
      </c>
      <c r="AE347" s="30" t="s">
        <v>54</v>
      </c>
      <c r="AF347" s="30" t="n">
        <v>0</v>
      </c>
      <c r="AG347" s="30" t="n">
        <v>1</v>
      </c>
      <c r="AH347" s="30" t="n">
        <v>0</v>
      </c>
      <c r="AI347" s="30" t="n">
        <v>0</v>
      </c>
      <c r="AJ347" s="30" t="n">
        <v>0</v>
      </c>
      <c r="AK347" s="30" t="n">
        <v>0</v>
      </c>
      <c r="AL347" s="26"/>
    </row>
    <row collapsed="false" customFormat="false" customHeight="false" hidden="false" ht="14.5" outlineLevel="0" r="348">
      <c r="A348" s="30" t="n">
        <v>339</v>
      </c>
      <c r="B348" s="30" t="s">
        <v>45</v>
      </c>
      <c r="C348" s="30" t="s">
        <v>59</v>
      </c>
      <c r="D348" s="30" t="s">
        <v>499</v>
      </c>
      <c r="E348" s="30" t="s">
        <v>502</v>
      </c>
      <c r="F348" s="30"/>
      <c r="G348" s="30"/>
      <c r="H348" s="30" t="s">
        <v>503</v>
      </c>
      <c r="I348" s="30" t="s">
        <v>56</v>
      </c>
      <c r="J348" s="30"/>
      <c r="K348" s="30" t="s">
        <v>57</v>
      </c>
      <c r="L348" s="30" t="s">
        <v>57</v>
      </c>
      <c r="M348" s="30" t="n">
        <v>1917</v>
      </c>
      <c r="N348" s="30" t="s">
        <v>58</v>
      </c>
      <c r="O348" s="30" t="n">
        <v>4</v>
      </c>
      <c r="P348" s="30" t="n">
        <v>0</v>
      </c>
      <c r="Q348" s="30" t="n">
        <v>1</v>
      </c>
      <c r="R348" s="30" t="n">
        <v>12</v>
      </c>
      <c r="S348" s="30" t="n">
        <v>838.5</v>
      </c>
      <c r="T348" s="30" t="n">
        <v>838.5</v>
      </c>
      <c r="U348" s="30" t="n">
        <v>635</v>
      </c>
      <c r="V348" s="30" t="n">
        <v>203.5</v>
      </c>
      <c r="W348" s="30" t="s">
        <v>53</v>
      </c>
      <c r="X348" s="30" t="s">
        <v>53</v>
      </c>
      <c r="Y348" s="30" t="s">
        <v>53</v>
      </c>
      <c r="Z348" s="30" t="s">
        <v>53</v>
      </c>
      <c r="AA348" s="30" t="s">
        <v>53</v>
      </c>
      <c r="AB348" s="30" t="s">
        <v>53</v>
      </c>
      <c r="AC348" s="30" t="s">
        <v>53</v>
      </c>
      <c r="AD348" s="30" t="s">
        <v>53</v>
      </c>
      <c r="AE348" s="30" t="s">
        <v>54</v>
      </c>
      <c r="AF348" s="30" t="n">
        <v>0</v>
      </c>
      <c r="AG348" s="30" t="n">
        <v>0</v>
      </c>
      <c r="AH348" s="30" t="n">
        <v>1</v>
      </c>
      <c r="AI348" s="30" t="n">
        <v>0</v>
      </c>
      <c r="AJ348" s="30" t="n">
        <v>0</v>
      </c>
      <c r="AK348" s="30" t="n">
        <v>0</v>
      </c>
      <c r="AL348" s="26"/>
    </row>
    <row collapsed="false" customFormat="false" customHeight="false" hidden="false" ht="14.5" outlineLevel="0" r="349">
      <c r="A349" s="30" t="n">
        <v>340</v>
      </c>
      <c r="B349" s="30" t="s">
        <v>45</v>
      </c>
      <c r="C349" s="30" t="s">
        <v>59</v>
      </c>
      <c r="D349" s="30" t="s">
        <v>499</v>
      </c>
      <c r="E349" s="30" t="n">
        <v>10</v>
      </c>
      <c r="F349" s="30"/>
      <c r="G349" s="30"/>
      <c r="H349" s="30" t="s">
        <v>504</v>
      </c>
      <c r="I349" s="30" t="s">
        <v>56</v>
      </c>
      <c r="J349" s="30"/>
      <c r="K349" s="30" t="s">
        <v>81</v>
      </c>
      <c r="L349" s="30" t="s">
        <v>57</v>
      </c>
      <c r="M349" s="30" t="n">
        <v>1954</v>
      </c>
      <c r="N349" s="30" t="s">
        <v>58</v>
      </c>
      <c r="O349" s="30" t="n">
        <v>3</v>
      </c>
      <c r="P349" s="30" t="n">
        <v>0</v>
      </c>
      <c r="Q349" s="30" t="n">
        <v>1</v>
      </c>
      <c r="R349" s="30" t="n">
        <v>9</v>
      </c>
      <c r="S349" s="30" t="n">
        <v>925.5</v>
      </c>
      <c r="T349" s="30" t="n">
        <v>925.5</v>
      </c>
      <c r="U349" s="30" t="n">
        <v>639</v>
      </c>
      <c r="V349" s="30" t="n">
        <v>286.5</v>
      </c>
      <c r="W349" s="30" t="s">
        <v>53</v>
      </c>
      <c r="X349" s="30" t="s">
        <v>53</v>
      </c>
      <c r="Y349" s="30" t="s">
        <v>53</v>
      </c>
      <c r="Z349" s="30" t="s">
        <v>53</v>
      </c>
      <c r="AA349" s="30" t="s">
        <v>53</v>
      </c>
      <c r="AB349" s="30" t="s">
        <v>53</v>
      </c>
      <c r="AC349" s="30" t="s">
        <v>53</v>
      </c>
      <c r="AD349" s="30" t="s">
        <v>53</v>
      </c>
      <c r="AE349" s="30" t="s">
        <v>54</v>
      </c>
      <c r="AF349" s="30" t="n">
        <v>0</v>
      </c>
      <c r="AG349" s="30" t="n">
        <v>0</v>
      </c>
      <c r="AH349" s="30" t="n">
        <v>0</v>
      </c>
      <c r="AI349" s="30" t="n">
        <v>0</v>
      </c>
      <c r="AJ349" s="30" t="n">
        <v>0</v>
      </c>
      <c r="AK349" s="30" t="n">
        <v>0</v>
      </c>
      <c r="AL349" s="26"/>
    </row>
    <row collapsed="false" customFormat="false" customHeight="false" hidden="false" ht="14.5" outlineLevel="0" r="350">
      <c r="A350" s="30" t="n">
        <v>341</v>
      </c>
      <c r="B350" s="30" t="s">
        <v>45</v>
      </c>
      <c r="C350" s="30" t="s">
        <v>46</v>
      </c>
      <c r="D350" s="30" t="s">
        <v>505</v>
      </c>
      <c r="E350" s="30" t="s">
        <v>506</v>
      </c>
      <c r="F350" s="30"/>
      <c r="G350" s="30"/>
      <c r="H350" s="30" t="s">
        <v>507</v>
      </c>
      <c r="I350" s="30" t="s">
        <v>56</v>
      </c>
      <c r="J350" s="30"/>
      <c r="K350" s="30" t="s">
        <v>81</v>
      </c>
      <c r="L350" s="30" t="s">
        <v>57</v>
      </c>
      <c r="M350" s="30" t="n">
        <v>1940</v>
      </c>
      <c r="N350" s="30" t="s">
        <v>58</v>
      </c>
      <c r="O350" s="30" t="n">
        <v>3</v>
      </c>
      <c r="P350" s="30" t="n">
        <v>0</v>
      </c>
      <c r="Q350" s="30" t="n">
        <v>2</v>
      </c>
      <c r="R350" s="30" t="n">
        <v>5</v>
      </c>
      <c r="S350" s="30" t="n">
        <v>2609.6</v>
      </c>
      <c r="T350" s="30" t="n">
        <v>2609.6</v>
      </c>
      <c r="U350" s="30" t="n">
        <v>2609.6</v>
      </c>
      <c r="V350" s="30"/>
      <c r="W350" s="30" t="s">
        <v>53</v>
      </c>
      <c r="X350" s="30" t="s">
        <v>53</v>
      </c>
      <c r="Y350" s="30" t="s">
        <v>54</v>
      </c>
      <c r="Z350" s="30" t="s">
        <v>53</v>
      </c>
      <c r="AA350" s="30" t="s">
        <v>53</v>
      </c>
      <c r="AB350" s="30" t="s">
        <v>53</v>
      </c>
      <c r="AC350" s="30" t="s">
        <v>54</v>
      </c>
      <c r="AD350" s="30" t="s">
        <v>53</v>
      </c>
      <c r="AE350" s="30" t="s">
        <v>54</v>
      </c>
      <c r="AF350" s="30" t="n">
        <v>0</v>
      </c>
      <c r="AG350" s="30" t="n">
        <v>0</v>
      </c>
      <c r="AH350" s="30" t="n">
        <v>1</v>
      </c>
      <c r="AI350" s="30" t="n">
        <v>1</v>
      </c>
      <c r="AJ350" s="30" t="n">
        <v>0</v>
      </c>
      <c r="AK350" s="30" t="n">
        <v>0</v>
      </c>
      <c r="AL350" s="26"/>
    </row>
    <row collapsed="false" customFormat="false" customHeight="false" hidden="false" ht="14.5" outlineLevel="0" r="351">
      <c r="A351" s="30" t="n">
        <v>342</v>
      </c>
      <c r="B351" s="30" t="s">
        <v>45</v>
      </c>
      <c r="C351" s="30" t="s">
        <v>46</v>
      </c>
      <c r="D351" s="30" t="s">
        <v>505</v>
      </c>
      <c r="E351" s="30" t="n">
        <v>4</v>
      </c>
      <c r="F351" s="30"/>
      <c r="G351" s="30"/>
      <c r="H351" s="30" t="s">
        <v>508</v>
      </c>
      <c r="I351" s="30" t="s">
        <v>56</v>
      </c>
      <c r="J351" s="30"/>
      <c r="K351" s="30" t="s">
        <v>64</v>
      </c>
      <c r="L351" s="30" t="s">
        <v>57</v>
      </c>
      <c r="M351" s="30" t="n">
        <v>1970</v>
      </c>
      <c r="N351" s="30" t="s">
        <v>108</v>
      </c>
      <c r="O351" s="30" t="n">
        <v>5</v>
      </c>
      <c r="P351" s="30" t="n">
        <v>0</v>
      </c>
      <c r="Q351" s="30" t="n">
        <v>8</v>
      </c>
      <c r="R351" s="30" t="n">
        <v>119</v>
      </c>
      <c r="S351" s="30" t="n">
        <v>5800.59</v>
      </c>
      <c r="T351" s="30" t="n">
        <v>5800.59</v>
      </c>
      <c r="U351" s="30" t="n">
        <v>5800.59</v>
      </c>
      <c r="V351" s="30"/>
      <c r="W351" s="30" t="s">
        <v>53</v>
      </c>
      <c r="X351" s="30" t="s">
        <v>53</v>
      </c>
      <c r="Y351" s="30" t="s">
        <v>53</v>
      </c>
      <c r="Z351" s="30" t="s">
        <v>53</v>
      </c>
      <c r="AA351" s="30" t="s">
        <v>53</v>
      </c>
      <c r="AB351" s="30" t="s">
        <v>53</v>
      </c>
      <c r="AC351" s="30" t="s">
        <v>54</v>
      </c>
      <c r="AD351" s="30" t="s">
        <v>53</v>
      </c>
      <c r="AE351" s="30" t="s">
        <v>54</v>
      </c>
      <c r="AF351" s="30" t="n">
        <v>0</v>
      </c>
      <c r="AG351" s="30" t="n">
        <v>0</v>
      </c>
      <c r="AH351" s="30" t="n">
        <v>1</v>
      </c>
      <c r="AI351" s="30" t="n">
        <v>0</v>
      </c>
      <c r="AJ351" s="30" t="n">
        <v>1</v>
      </c>
      <c r="AK351" s="30" t="n">
        <v>0</v>
      </c>
      <c r="AL351" s="26"/>
    </row>
    <row collapsed="false" customFormat="false" customHeight="false" hidden="false" ht="14.5" outlineLevel="0" r="352">
      <c r="A352" s="30" t="n">
        <v>343</v>
      </c>
      <c r="B352" s="30" t="s">
        <v>45</v>
      </c>
      <c r="C352" s="30" t="s">
        <v>46</v>
      </c>
      <c r="D352" s="30" t="s">
        <v>509</v>
      </c>
      <c r="E352" s="30" t="n">
        <v>1</v>
      </c>
      <c r="F352" s="30"/>
      <c r="G352" s="30"/>
      <c r="H352" s="30" t="s">
        <v>510</v>
      </c>
      <c r="I352" s="30" t="s">
        <v>56</v>
      </c>
      <c r="J352" s="30"/>
      <c r="K352" s="30" t="s">
        <v>64</v>
      </c>
      <c r="L352" s="30" t="s">
        <v>103</v>
      </c>
      <c r="M352" s="30" t="n">
        <v>1963</v>
      </c>
      <c r="N352" s="30" t="s">
        <v>58</v>
      </c>
      <c r="O352" s="30" t="n">
        <v>4</v>
      </c>
      <c r="P352" s="30" t="n">
        <v>0</v>
      </c>
      <c r="Q352" s="30" t="n">
        <v>3</v>
      </c>
      <c r="R352" s="30" t="n">
        <v>36</v>
      </c>
      <c r="S352" s="30" t="n">
        <v>2093</v>
      </c>
      <c r="T352" s="30" t="n">
        <v>2093</v>
      </c>
      <c r="U352" s="30" t="n">
        <v>1677.6</v>
      </c>
      <c r="V352" s="30" t="n">
        <v>415.4</v>
      </c>
      <c r="W352" s="30" t="s">
        <v>53</v>
      </c>
      <c r="X352" s="30" t="s">
        <v>53</v>
      </c>
      <c r="Y352" s="30" t="s">
        <v>54</v>
      </c>
      <c r="Z352" s="30" t="s">
        <v>53</v>
      </c>
      <c r="AA352" s="30" t="s">
        <v>53</v>
      </c>
      <c r="AB352" s="30" t="s">
        <v>53</v>
      </c>
      <c r="AC352" s="30" t="s">
        <v>53</v>
      </c>
      <c r="AD352" s="30" t="s">
        <v>53</v>
      </c>
      <c r="AE352" s="30" t="s">
        <v>54</v>
      </c>
      <c r="AF352" s="30" t="n">
        <v>0</v>
      </c>
      <c r="AG352" s="30" t="n">
        <v>0</v>
      </c>
      <c r="AH352" s="30" t="n">
        <v>1</v>
      </c>
      <c r="AI352" s="30" t="n">
        <v>0</v>
      </c>
      <c r="AJ352" s="30" t="n">
        <v>1</v>
      </c>
      <c r="AK352" s="30" t="n">
        <v>0</v>
      </c>
      <c r="AL352" s="26"/>
    </row>
    <row collapsed="false" customFormat="false" customHeight="false" hidden="false" ht="14.5" outlineLevel="0" r="353">
      <c r="A353" s="30" t="n">
        <v>344</v>
      </c>
      <c r="B353" s="30" t="s">
        <v>45</v>
      </c>
      <c r="C353" s="30" t="s">
        <v>46</v>
      </c>
      <c r="D353" s="30" t="s">
        <v>509</v>
      </c>
      <c r="E353" s="30" t="n">
        <v>2</v>
      </c>
      <c r="F353" s="30"/>
      <c r="G353" s="30"/>
      <c r="H353" s="30" t="s">
        <v>511</v>
      </c>
      <c r="I353" s="30" t="s">
        <v>56</v>
      </c>
      <c r="J353" s="30"/>
      <c r="K353" s="30" t="s">
        <v>64</v>
      </c>
      <c r="L353" s="30" t="s">
        <v>57</v>
      </c>
      <c r="M353" s="30" t="n">
        <v>1968</v>
      </c>
      <c r="N353" s="30" t="s">
        <v>58</v>
      </c>
      <c r="O353" s="30" t="n">
        <v>5</v>
      </c>
      <c r="P353" s="30" t="n">
        <v>0</v>
      </c>
      <c r="Q353" s="30" t="n">
        <v>4</v>
      </c>
      <c r="R353" s="30" t="n">
        <v>64</v>
      </c>
      <c r="S353" s="30" t="n">
        <v>3275.7</v>
      </c>
      <c r="T353" s="30" t="n">
        <v>3275.7</v>
      </c>
      <c r="U353" s="30" t="n">
        <v>2611</v>
      </c>
      <c r="V353" s="30" t="n">
        <v>664.7</v>
      </c>
      <c r="W353" s="30" t="s">
        <v>53</v>
      </c>
      <c r="X353" s="30" t="s">
        <v>53</v>
      </c>
      <c r="Y353" s="30" t="s">
        <v>53</v>
      </c>
      <c r="Z353" s="30" t="s">
        <v>53</v>
      </c>
      <c r="AA353" s="30" t="s">
        <v>53</v>
      </c>
      <c r="AB353" s="30" t="s">
        <v>53</v>
      </c>
      <c r="AC353" s="30" t="s">
        <v>54</v>
      </c>
      <c r="AD353" s="30" t="s">
        <v>53</v>
      </c>
      <c r="AE353" s="30" t="s">
        <v>54</v>
      </c>
      <c r="AF353" s="30" t="n">
        <v>0</v>
      </c>
      <c r="AG353" s="30" t="n">
        <v>0</v>
      </c>
      <c r="AH353" s="30" t="n">
        <v>1</v>
      </c>
      <c r="AI353" s="30" t="n">
        <v>0</v>
      </c>
      <c r="AJ353" s="30" t="n">
        <v>1</v>
      </c>
      <c r="AK353" s="30" t="n">
        <v>0</v>
      </c>
      <c r="AL353" s="26"/>
    </row>
    <row collapsed="false" customFormat="false" customHeight="false" hidden="false" ht="14.5" outlineLevel="0" r="354">
      <c r="A354" s="30" t="n">
        <v>345</v>
      </c>
      <c r="B354" s="30" t="s">
        <v>45</v>
      </c>
      <c r="C354" s="30" t="s">
        <v>46</v>
      </c>
      <c r="D354" s="30" t="s">
        <v>509</v>
      </c>
      <c r="E354" s="30" t="n">
        <v>3</v>
      </c>
      <c r="F354" s="30"/>
      <c r="G354" s="30"/>
      <c r="H354" s="30" t="s">
        <v>512</v>
      </c>
      <c r="I354" s="30" t="s">
        <v>56</v>
      </c>
      <c r="J354" s="30"/>
      <c r="K354" s="30" t="s">
        <v>64</v>
      </c>
      <c r="L354" s="30" t="s">
        <v>51</v>
      </c>
      <c r="M354" s="30" t="n">
        <v>1960</v>
      </c>
      <c r="N354" s="30" t="s">
        <v>58</v>
      </c>
      <c r="O354" s="30" t="n">
        <v>3</v>
      </c>
      <c r="P354" s="30" t="n">
        <v>0</v>
      </c>
      <c r="Q354" s="30" t="n">
        <v>2</v>
      </c>
      <c r="R354" s="30" t="n">
        <v>10</v>
      </c>
      <c r="S354" s="30" t="n">
        <v>1164.7</v>
      </c>
      <c r="T354" s="30" t="n">
        <v>1164.7</v>
      </c>
      <c r="U354" s="30" t="n">
        <v>1164.7</v>
      </c>
      <c r="V354" s="30"/>
      <c r="W354" s="30" t="s">
        <v>53</v>
      </c>
      <c r="X354" s="30" t="s">
        <v>53</v>
      </c>
      <c r="Y354" s="30" t="s">
        <v>54</v>
      </c>
      <c r="Z354" s="30" t="s">
        <v>53</v>
      </c>
      <c r="AA354" s="30" t="s">
        <v>53</v>
      </c>
      <c r="AB354" s="30" t="s">
        <v>53</v>
      </c>
      <c r="AC354" s="30" t="s">
        <v>53</v>
      </c>
      <c r="AD354" s="30" t="s">
        <v>53</v>
      </c>
      <c r="AE354" s="30" t="s">
        <v>54</v>
      </c>
      <c r="AF354" s="30" t="n">
        <v>0</v>
      </c>
      <c r="AG354" s="30" t="n">
        <v>0</v>
      </c>
      <c r="AH354" s="30" t="n">
        <v>1</v>
      </c>
      <c r="AI354" s="30" t="n">
        <v>0</v>
      </c>
      <c r="AJ354" s="30" t="n">
        <v>1</v>
      </c>
      <c r="AK354" s="30" t="n">
        <v>0</v>
      </c>
      <c r="AL354" s="26"/>
    </row>
    <row collapsed="false" customFormat="false" customHeight="false" hidden="false" ht="14.5" outlineLevel="0" r="355">
      <c r="A355" s="30" t="n">
        <v>346</v>
      </c>
      <c r="B355" s="30" t="s">
        <v>45</v>
      </c>
      <c r="C355" s="30" t="s">
        <v>46</v>
      </c>
      <c r="D355" s="30" t="s">
        <v>509</v>
      </c>
      <c r="E355" s="30" t="n">
        <v>3</v>
      </c>
      <c r="F355" s="30" t="s">
        <v>67</v>
      </c>
      <c r="G355" s="30"/>
      <c r="H355" s="30" t="s">
        <v>513</v>
      </c>
      <c r="I355" s="30" t="s">
        <v>56</v>
      </c>
      <c r="J355" s="30"/>
      <c r="K355" s="30" t="s">
        <v>64</v>
      </c>
      <c r="L355" s="30" t="s">
        <v>57</v>
      </c>
      <c r="M355" s="30" t="n">
        <v>1961</v>
      </c>
      <c r="N355" s="30" t="s">
        <v>58</v>
      </c>
      <c r="O355" s="30" t="n">
        <v>3</v>
      </c>
      <c r="P355" s="30" t="n">
        <v>0</v>
      </c>
      <c r="Q355" s="30" t="n">
        <v>3</v>
      </c>
      <c r="R355" s="30" t="n">
        <v>24</v>
      </c>
      <c r="S355" s="30" t="n">
        <v>946.8</v>
      </c>
      <c r="T355" s="30" t="n">
        <v>946.8</v>
      </c>
      <c r="U355" s="30" t="n">
        <v>946.8</v>
      </c>
      <c r="V355" s="30"/>
      <c r="W355" s="30" t="s">
        <v>53</v>
      </c>
      <c r="X355" s="30" t="s">
        <v>53</v>
      </c>
      <c r="Y355" s="30" t="s">
        <v>54</v>
      </c>
      <c r="Z355" s="30" t="s">
        <v>53</v>
      </c>
      <c r="AA355" s="30" t="s">
        <v>53</v>
      </c>
      <c r="AB355" s="30" t="s">
        <v>53</v>
      </c>
      <c r="AC355" s="30" t="s">
        <v>53</v>
      </c>
      <c r="AD355" s="30" t="s">
        <v>53</v>
      </c>
      <c r="AE355" s="30" t="s">
        <v>54</v>
      </c>
      <c r="AF355" s="30" t="n">
        <v>0</v>
      </c>
      <c r="AG355" s="30" t="n">
        <v>0</v>
      </c>
      <c r="AH355" s="30" t="n">
        <v>1</v>
      </c>
      <c r="AI355" s="30" t="n">
        <v>0</v>
      </c>
      <c r="AJ355" s="30" t="n">
        <v>1</v>
      </c>
      <c r="AK355" s="30" t="n">
        <v>0</v>
      </c>
      <c r="AL355" s="26"/>
    </row>
    <row collapsed="false" customFormat="false" customHeight="false" hidden="false" ht="14.5" outlineLevel="0" r="356">
      <c r="A356" s="30" t="n">
        <v>347</v>
      </c>
      <c r="B356" s="30" t="s">
        <v>45</v>
      </c>
      <c r="C356" s="30" t="s">
        <v>46</v>
      </c>
      <c r="D356" s="30" t="s">
        <v>509</v>
      </c>
      <c r="E356" s="30" t="n">
        <v>5</v>
      </c>
      <c r="F356" s="30"/>
      <c r="G356" s="30"/>
      <c r="H356" s="30" t="s">
        <v>514</v>
      </c>
      <c r="I356" s="30" t="s">
        <v>56</v>
      </c>
      <c r="J356" s="30"/>
      <c r="K356" s="30" t="s">
        <v>64</v>
      </c>
      <c r="L356" s="30" t="s">
        <v>65</v>
      </c>
      <c r="M356" s="30" t="n">
        <v>1961</v>
      </c>
      <c r="N356" s="30" t="s">
        <v>58</v>
      </c>
      <c r="O356" s="30" t="n">
        <v>3</v>
      </c>
      <c r="P356" s="30" t="n">
        <v>0</v>
      </c>
      <c r="Q356" s="30" t="n">
        <v>3</v>
      </c>
      <c r="R356" s="30" t="n">
        <v>36</v>
      </c>
      <c r="S356" s="30" t="n">
        <v>1502.6</v>
      </c>
      <c r="T356" s="30" t="n">
        <v>1502.6</v>
      </c>
      <c r="U356" s="30" t="n">
        <v>1502.6</v>
      </c>
      <c r="V356" s="30"/>
      <c r="W356" s="30" t="s">
        <v>53</v>
      </c>
      <c r="X356" s="30" t="s">
        <v>53</v>
      </c>
      <c r="Y356" s="30" t="s">
        <v>54</v>
      </c>
      <c r="Z356" s="30" t="s">
        <v>53</v>
      </c>
      <c r="AA356" s="30" t="s">
        <v>53</v>
      </c>
      <c r="AB356" s="30" t="s">
        <v>53</v>
      </c>
      <c r="AC356" s="30" t="s">
        <v>53</v>
      </c>
      <c r="AD356" s="30" t="s">
        <v>53</v>
      </c>
      <c r="AE356" s="30" t="s">
        <v>54</v>
      </c>
      <c r="AF356" s="30" t="n">
        <v>0</v>
      </c>
      <c r="AG356" s="30" t="n">
        <v>0</v>
      </c>
      <c r="AH356" s="30" t="n">
        <v>1</v>
      </c>
      <c r="AI356" s="30" t="n">
        <v>0</v>
      </c>
      <c r="AJ356" s="30" t="n">
        <v>1</v>
      </c>
      <c r="AK356" s="30" t="n">
        <v>0</v>
      </c>
      <c r="AL356" s="26"/>
    </row>
    <row collapsed="false" customFormat="false" customHeight="false" hidden="false" ht="14.5" outlineLevel="0" r="357">
      <c r="A357" s="30" t="n">
        <v>348</v>
      </c>
      <c r="B357" s="30" t="s">
        <v>45</v>
      </c>
      <c r="C357" s="30" t="s">
        <v>46</v>
      </c>
      <c r="D357" s="30" t="s">
        <v>509</v>
      </c>
      <c r="E357" s="30" t="n">
        <v>6</v>
      </c>
      <c r="F357" s="30"/>
      <c r="G357" s="30"/>
      <c r="H357" s="30" t="s">
        <v>515</v>
      </c>
      <c r="I357" s="30" t="s">
        <v>56</v>
      </c>
      <c r="J357" s="30"/>
      <c r="K357" s="30" t="s">
        <v>64</v>
      </c>
      <c r="L357" s="30" t="s">
        <v>57</v>
      </c>
      <c r="M357" s="30" t="n">
        <v>1959</v>
      </c>
      <c r="N357" s="30" t="s">
        <v>58</v>
      </c>
      <c r="O357" s="30" t="n">
        <v>3</v>
      </c>
      <c r="P357" s="30" t="n">
        <v>0</v>
      </c>
      <c r="Q357" s="30" t="n">
        <v>2</v>
      </c>
      <c r="R357" s="30" t="n">
        <v>4</v>
      </c>
      <c r="S357" s="30" t="n">
        <v>1586.9</v>
      </c>
      <c r="T357" s="30" t="n">
        <v>1586.9</v>
      </c>
      <c r="U357" s="30" t="n">
        <v>1563.8</v>
      </c>
      <c r="V357" s="30"/>
      <c r="W357" s="30" t="s">
        <v>53</v>
      </c>
      <c r="X357" s="30" t="s">
        <v>53</v>
      </c>
      <c r="Y357" s="30" t="s">
        <v>54</v>
      </c>
      <c r="Z357" s="30" t="s">
        <v>53</v>
      </c>
      <c r="AA357" s="30" t="s">
        <v>53</v>
      </c>
      <c r="AB357" s="30" t="s">
        <v>53</v>
      </c>
      <c r="AC357" s="30" t="s">
        <v>53</v>
      </c>
      <c r="AD357" s="30" t="s">
        <v>53</v>
      </c>
      <c r="AE357" s="30" t="s">
        <v>54</v>
      </c>
      <c r="AF357" s="30" t="n">
        <v>0</v>
      </c>
      <c r="AG357" s="30" t="n">
        <v>0</v>
      </c>
      <c r="AH357" s="30" t="n">
        <v>1</v>
      </c>
      <c r="AI357" s="30" t="n">
        <v>0</v>
      </c>
      <c r="AJ357" s="30" t="n">
        <v>0</v>
      </c>
      <c r="AK357" s="30" t="n">
        <v>0</v>
      </c>
      <c r="AL357" s="26"/>
    </row>
    <row collapsed="false" customFormat="false" customHeight="false" hidden="false" ht="14.5" outlineLevel="0" r="358">
      <c r="A358" s="30" t="n">
        <v>349</v>
      </c>
      <c r="B358" s="30" t="s">
        <v>45</v>
      </c>
      <c r="C358" s="30" t="s">
        <v>46</v>
      </c>
      <c r="D358" s="30" t="s">
        <v>509</v>
      </c>
      <c r="E358" s="30" t="n">
        <v>9</v>
      </c>
      <c r="F358" s="30"/>
      <c r="G358" s="30"/>
      <c r="H358" s="30" t="s">
        <v>516</v>
      </c>
      <c r="I358" s="30" t="s">
        <v>56</v>
      </c>
      <c r="J358" s="30"/>
      <c r="K358" s="30" t="s">
        <v>64</v>
      </c>
      <c r="L358" s="30" t="s">
        <v>517</v>
      </c>
      <c r="M358" s="30" t="n">
        <v>1961</v>
      </c>
      <c r="N358" s="30" t="s">
        <v>58</v>
      </c>
      <c r="O358" s="30" t="n">
        <v>3</v>
      </c>
      <c r="P358" s="30" t="n">
        <v>0</v>
      </c>
      <c r="Q358" s="30" t="n">
        <v>3</v>
      </c>
      <c r="R358" s="30" t="n">
        <v>34</v>
      </c>
      <c r="S358" s="30" t="n">
        <v>1479.9</v>
      </c>
      <c r="T358" s="30" t="n">
        <v>1479.9</v>
      </c>
      <c r="U358" s="30" t="n">
        <v>1409.2</v>
      </c>
      <c r="V358" s="30" t="n">
        <v>70.7</v>
      </c>
      <c r="W358" s="30" t="s">
        <v>53</v>
      </c>
      <c r="X358" s="30" t="s">
        <v>53</v>
      </c>
      <c r="Y358" s="30" t="s">
        <v>54</v>
      </c>
      <c r="Z358" s="30" t="s">
        <v>53</v>
      </c>
      <c r="AA358" s="30" t="s">
        <v>53</v>
      </c>
      <c r="AB358" s="30" t="s">
        <v>53</v>
      </c>
      <c r="AC358" s="30" t="s">
        <v>53</v>
      </c>
      <c r="AD358" s="30" t="s">
        <v>53</v>
      </c>
      <c r="AE358" s="30" t="s">
        <v>54</v>
      </c>
      <c r="AF358" s="30" t="n">
        <v>0</v>
      </c>
      <c r="AG358" s="30" t="n">
        <v>0</v>
      </c>
      <c r="AH358" s="30" t="n">
        <v>1</v>
      </c>
      <c r="AI358" s="30" t="n">
        <v>0</v>
      </c>
      <c r="AJ358" s="30" t="n">
        <v>0</v>
      </c>
      <c r="AK358" s="30" t="n">
        <v>0</v>
      </c>
      <c r="AL358" s="26"/>
    </row>
    <row collapsed="false" customFormat="false" customHeight="false" hidden="false" ht="14.5" outlineLevel="0" r="359">
      <c r="A359" s="30" t="n">
        <v>350</v>
      </c>
      <c r="B359" s="30" t="s">
        <v>45</v>
      </c>
      <c r="C359" s="30" t="s">
        <v>46</v>
      </c>
      <c r="D359" s="30" t="s">
        <v>509</v>
      </c>
      <c r="E359" s="30" t="n">
        <v>11</v>
      </c>
      <c r="F359" s="30"/>
      <c r="G359" s="30"/>
      <c r="H359" s="30" t="s">
        <v>518</v>
      </c>
      <c r="I359" s="30" t="s">
        <v>56</v>
      </c>
      <c r="J359" s="30"/>
      <c r="K359" s="30" t="s">
        <v>64</v>
      </c>
      <c r="L359" s="30" t="s">
        <v>51</v>
      </c>
      <c r="M359" s="30" t="n">
        <v>1963</v>
      </c>
      <c r="N359" s="30" t="s">
        <v>58</v>
      </c>
      <c r="O359" s="30" t="n">
        <v>4</v>
      </c>
      <c r="P359" s="30" t="n">
        <v>0</v>
      </c>
      <c r="Q359" s="30" t="n">
        <v>2</v>
      </c>
      <c r="R359" s="30" t="n">
        <v>19</v>
      </c>
      <c r="S359" s="30" t="n">
        <v>1743.2</v>
      </c>
      <c r="T359" s="30" t="n">
        <v>1743.2</v>
      </c>
      <c r="U359" s="30" t="n">
        <v>1641.3</v>
      </c>
      <c r="V359" s="30" t="n">
        <v>101.9</v>
      </c>
      <c r="W359" s="30" t="s">
        <v>53</v>
      </c>
      <c r="X359" s="30" t="s">
        <v>53</v>
      </c>
      <c r="Y359" s="30" t="s">
        <v>53</v>
      </c>
      <c r="Z359" s="30" t="s">
        <v>53</v>
      </c>
      <c r="AA359" s="30" t="s">
        <v>53</v>
      </c>
      <c r="AB359" s="30" t="s">
        <v>53</v>
      </c>
      <c r="AC359" s="30" t="s">
        <v>54</v>
      </c>
      <c r="AD359" s="30" t="s">
        <v>53</v>
      </c>
      <c r="AE359" s="30" t="s">
        <v>54</v>
      </c>
      <c r="AF359" s="30" t="n">
        <v>0</v>
      </c>
      <c r="AG359" s="30" t="n">
        <v>0</v>
      </c>
      <c r="AH359" s="30" t="n">
        <v>1</v>
      </c>
      <c r="AI359" s="30" t="n">
        <v>0</v>
      </c>
      <c r="AJ359" s="30" t="n">
        <v>1</v>
      </c>
      <c r="AK359" s="30" t="n">
        <v>0</v>
      </c>
      <c r="AL359" s="26"/>
    </row>
    <row collapsed="false" customFormat="false" customHeight="false" hidden="false" ht="14.5" outlineLevel="0" r="360">
      <c r="A360" s="30" t="n">
        <v>351</v>
      </c>
      <c r="B360" s="30" t="s">
        <v>45</v>
      </c>
      <c r="C360" s="30" t="s">
        <v>46</v>
      </c>
      <c r="D360" s="30" t="s">
        <v>509</v>
      </c>
      <c r="E360" s="30" t="n">
        <v>11</v>
      </c>
      <c r="F360" s="30" t="s">
        <v>67</v>
      </c>
      <c r="G360" s="30"/>
      <c r="H360" s="30" t="s">
        <v>519</v>
      </c>
      <c r="I360" s="30" t="s">
        <v>56</v>
      </c>
      <c r="J360" s="30"/>
      <c r="K360" s="30" t="s">
        <v>64</v>
      </c>
      <c r="L360" s="30" t="s">
        <v>103</v>
      </c>
      <c r="M360" s="30" t="n">
        <v>1962</v>
      </c>
      <c r="N360" s="30" t="s">
        <v>58</v>
      </c>
      <c r="O360" s="30" t="n">
        <v>4</v>
      </c>
      <c r="P360" s="30" t="n">
        <v>0</v>
      </c>
      <c r="Q360" s="30" t="n">
        <v>2</v>
      </c>
      <c r="R360" s="30" t="n">
        <v>32</v>
      </c>
      <c r="S360" s="30" t="n">
        <v>1295.9</v>
      </c>
      <c r="T360" s="30" t="n">
        <v>1295.9</v>
      </c>
      <c r="U360" s="30" t="n">
        <v>1295.9</v>
      </c>
      <c r="V360" s="30"/>
      <c r="W360" s="30" t="s">
        <v>53</v>
      </c>
      <c r="X360" s="30" t="s">
        <v>53</v>
      </c>
      <c r="Y360" s="30" t="s">
        <v>54</v>
      </c>
      <c r="Z360" s="30" t="s">
        <v>53</v>
      </c>
      <c r="AA360" s="30" t="s">
        <v>53</v>
      </c>
      <c r="AB360" s="30" t="s">
        <v>53</v>
      </c>
      <c r="AC360" s="30" t="s">
        <v>53</v>
      </c>
      <c r="AD360" s="30" t="s">
        <v>53</v>
      </c>
      <c r="AE360" s="30" t="s">
        <v>54</v>
      </c>
      <c r="AF360" s="30" t="n">
        <v>0</v>
      </c>
      <c r="AG360" s="30" t="n">
        <v>0</v>
      </c>
      <c r="AH360" s="30" t="n">
        <v>1</v>
      </c>
      <c r="AI360" s="30" t="n">
        <v>0</v>
      </c>
      <c r="AJ360" s="30" t="n">
        <v>1</v>
      </c>
      <c r="AK360" s="30" t="n">
        <v>0</v>
      </c>
      <c r="AL360" s="26"/>
    </row>
    <row collapsed="false" customFormat="false" customHeight="false" hidden="false" ht="14.5" outlineLevel="0" r="361">
      <c r="A361" s="30" t="n">
        <v>352</v>
      </c>
      <c r="B361" s="30" t="s">
        <v>45</v>
      </c>
      <c r="C361" s="30" t="s">
        <v>46</v>
      </c>
      <c r="D361" s="30" t="s">
        <v>509</v>
      </c>
      <c r="E361" s="30" t="n">
        <v>11</v>
      </c>
      <c r="F361" s="30" t="s">
        <v>69</v>
      </c>
      <c r="G361" s="30"/>
      <c r="H361" s="30" t="s">
        <v>520</v>
      </c>
      <c r="I361" s="30" t="s">
        <v>56</v>
      </c>
      <c r="J361" s="30"/>
      <c r="K361" s="30" t="s">
        <v>64</v>
      </c>
      <c r="L361" s="30" t="s">
        <v>57</v>
      </c>
      <c r="M361" s="30" t="n">
        <v>1962</v>
      </c>
      <c r="N361" s="30" t="s">
        <v>58</v>
      </c>
      <c r="O361" s="30" t="n">
        <v>3</v>
      </c>
      <c r="P361" s="30" t="n">
        <v>0</v>
      </c>
      <c r="Q361" s="30" t="n">
        <v>3</v>
      </c>
      <c r="R361" s="30" t="n">
        <v>24</v>
      </c>
      <c r="S361" s="30" t="n">
        <v>968.2</v>
      </c>
      <c r="T361" s="30" t="n">
        <v>968.2</v>
      </c>
      <c r="U361" s="30" t="n">
        <v>968.2</v>
      </c>
      <c r="V361" s="30"/>
      <c r="W361" s="30" t="s">
        <v>53</v>
      </c>
      <c r="X361" s="30" t="s">
        <v>53</v>
      </c>
      <c r="Y361" s="30" t="s">
        <v>54</v>
      </c>
      <c r="Z361" s="30" t="s">
        <v>53</v>
      </c>
      <c r="AA361" s="30" t="s">
        <v>53</v>
      </c>
      <c r="AB361" s="30" t="s">
        <v>53</v>
      </c>
      <c r="AC361" s="30" t="s">
        <v>53</v>
      </c>
      <c r="AD361" s="30" t="s">
        <v>53</v>
      </c>
      <c r="AE361" s="30" t="s">
        <v>54</v>
      </c>
      <c r="AF361" s="30" t="n">
        <v>0</v>
      </c>
      <c r="AG361" s="30" t="n">
        <v>0</v>
      </c>
      <c r="AH361" s="30" t="n">
        <v>1</v>
      </c>
      <c r="AI361" s="30" t="n">
        <v>0</v>
      </c>
      <c r="AJ361" s="30" t="n">
        <v>1</v>
      </c>
      <c r="AK361" s="30" t="n">
        <v>0</v>
      </c>
      <c r="AL361" s="26"/>
    </row>
    <row collapsed="false" customFormat="false" customHeight="false" hidden="false" ht="14.5" outlineLevel="0" r="362">
      <c r="A362" s="30" t="n">
        <v>353</v>
      </c>
      <c r="B362" s="30" t="s">
        <v>45</v>
      </c>
      <c r="C362" s="30" t="s">
        <v>46</v>
      </c>
      <c r="D362" s="30" t="s">
        <v>509</v>
      </c>
      <c r="E362" s="30" t="n">
        <v>12</v>
      </c>
      <c r="F362" s="30"/>
      <c r="G362" s="30"/>
      <c r="H362" s="30" t="s">
        <v>521</v>
      </c>
      <c r="I362" s="30" t="s">
        <v>56</v>
      </c>
      <c r="J362" s="30"/>
      <c r="K362" s="30" t="s">
        <v>64</v>
      </c>
      <c r="L362" s="30" t="s">
        <v>65</v>
      </c>
      <c r="M362" s="30" t="n">
        <v>1967</v>
      </c>
      <c r="N362" s="30" t="s">
        <v>58</v>
      </c>
      <c r="O362" s="30" t="n">
        <v>5</v>
      </c>
      <c r="P362" s="30" t="n">
        <v>0</v>
      </c>
      <c r="Q362" s="30" t="n">
        <v>6</v>
      </c>
      <c r="R362" s="30" t="n">
        <v>120</v>
      </c>
      <c r="S362" s="30" t="n">
        <v>5305.94</v>
      </c>
      <c r="T362" s="30" t="n">
        <v>5305.94</v>
      </c>
      <c r="U362" s="30" t="n">
        <v>5305.94</v>
      </c>
      <c r="V362" s="30"/>
      <c r="W362" s="30" t="s">
        <v>53</v>
      </c>
      <c r="X362" s="30" t="s">
        <v>53</v>
      </c>
      <c r="Y362" s="30" t="s">
        <v>54</v>
      </c>
      <c r="Z362" s="30" t="s">
        <v>53</v>
      </c>
      <c r="AA362" s="30" t="s">
        <v>53</v>
      </c>
      <c r="AB362" s="30" t="s">
        <v>53</v>
      </c>
      <c r="AC362" s="30" t="s">
        <v>53</v>
      </c>
      <c r="AD362" s="30" t="s">
        <v>53</v>
      </c>
      <c r="AE362" s="30" t="s">
        <v>54</v>
      </c>
      <c r="AF362" s="30" t="n">
        <v>0</v>
      </c>
      <c r="AG362" s="30" t="n">
        <v>0</v>
      </c>
      <c r="AH362" s="30" t="n">
        <v>1</v>
      </c>
      <c r="AI362" s="30" t="n">
        <v>0</v>
      </c>
      <c r="AJ362" s="30" t="n">
        <v>1</v>
      </c>
      <c r="AK362" s="30" t="n">
        <v>0</v>
      </c>
      <c r="AL362" s="26"/>
    </row>
    <row collapsed="false" customFormat="false" customHeight="false" hidden="false" ht="14.5" outlineLevel="0" r="363">
      <c r="A363" s="30" t="n">
        <v>354</v>
      </c>
      <c r="B363" s="30" t="s">
        <v>45</v>
      </c>
      <c r="C363" s="30" t="s">
        <v>46</v>
      </c>
      <c r="D363" s="30" t="s">
        <v>509</v>
      </c>
      <c r="E363" s="30" t="n">
        <v>15</v>
      </c>
      <c r="F363" s="30"/>
      <c r="G363" s="30"/>
      <c r="H363" s="30" t="s">
        <v>522</v>
      </c>
      <c r="I363" s="30" t="s">
        <v>56</v>
      </c>
      <c r="J363" s="30"/>
      <c r="K363" s="30" t="s">
        <v>101</v>
      </c>
      <c r="L363" s="30" t="s">
        <v>51</v>
      </c>
      <c r="M363" s="30" t="n">
        <v>1974</v>
      </c>
      <c r="N363" s="30" t="s">
        <v>58</v>
      </c>
      <c r="O363" s="30" t="n">
        <v>5</v>
      </c>
      <c r="P363" s="30" t="n">
        <v>0</v>
      </c>
      <c r="Q363" s="30" t="n">
        <v>7</v>
      </c>
      <c r="R363" s="30" t="n">
        <v>107</v>
      </c>
      <c r="S363" s="30" t="n">
        <v>5407.6</v>
      </c>
      <c r="T363" s="30" t="n">
        <v>5407.6</v>
      </c>
      <c r="U363" s="30" t="n">
        <v>5058.2</v>
      </c>
      <c r="V363" s="30" t="n">
        <v>349.4</v>
      </c>
      <c r="W363" s="30" t="s">
        <v>53</v>
      </c>
      <c r="X363" s="30" t="s">
        <v>53</v>
      </c>
      <c r="Y363" s="30" t="s">
        <v>54</v>
      </c>
      <c r="Z363" s="30" t="s">
        <v>53</v>
      </c>
      <c r="AA363" s="30" t="s">
        <v>53</v>
      </c>
      <c r="AB363" s="30" t="s">
        <v>53</v>
      </c>
      <c r="AC363" s="30" t="s">
        <v>53</v>
      </c>
      <c r="AD363" s="30" t="s">
        <v>53</v>
      </c>
      <c r="AE363" s="30" t="s">
        <v>54</v>
      </c>
      <c r="AF363" s="30" t="n">
        <v>0</v>
      </c>
      <c r="AG363" s="30" t="n">
        <v>0</v>
      </c>
      <c r="AH363" s="30" t="n">
        <v>1</v>
      </c>
      <c r="AI363" s="30" t="n">
        <v>0</v>
      </c>
      <c r="AJ363" s="30" t="n">
        <v>1</v>
      </c>
      <c r="AK363" s="30" t="n">
        <v>0</v>
      </c>
      <c r="AL363" s="26"/>
    </row>
    <row collapsed="false" customFormat="false" customHeight="false" hidden="false" ht="14.5" outlineLevel="0" r="364">
      <c r="A364" s="30" t="n">
        <v>355</v>
      </c>
      <c r="B364" s="30" t="s">
        <v>45</v>
      </c>
      <c r="C364" s="30" t="s">
        <v>46</v>
      </c>
      <c r="D364" s="30" t="s">
        <v>509</v>
      </c>
      <c r="E364" s="30" t="s">
        <v>523</v>
      </c>
      <c r="F364" s="30"/>
      <c r="G364" s="30"/>
      <c r="H364" s="30" t="s">
        <v>524</v>
      </c>
      <c r="I364" s="30" t="s">
        <v>56</v>
      </c>
      <c r="J364" s="30"/>
      <c r="K364" s="30" t="s">
        <v>101</v>
      </c>
      <c r="L364" s="30" t="s">
        <v>51</v>
      </c>
      <c r="M364" s="30" t="n">
        <v>1979</v>
      </c>
      <c r="N364" s="30" t="s">
        <v>58</v>
      </c>
      <c r="O364" s="30" t="n">
        <v>9</v>
      </c>
      <c r="P364" s="30" t="n">
        <v>0</v>
      </c>
      <c r="Q364" s="30" t="n">
        <v>5</v>
      </c>
      <c r="R364" s="30" t="n">
        <v>105</v>
      </c>
      <c r="S364" s="30" t="n">
        <v>6267.1</v>
      </c>
      <c r="T364" s="30" t="n">
        <v>6267.1</v>
      </c>
      <c r="U364" s="30" t="n">
        <v>5594</v>
      </c>
      <c r="V364" s="30" t="n">
        <v>673.1</v>
      </c>
      <c r="W364" s="30" t="s">
        <v>53</v>
      </c>
      <c r="X364" s="30" t="s">
        <v>53</v>
      </c>
      <c r="Y364" s="30" t="s">
        <v>54</v>
      </c>
      <c r="Z364" s="30" t="s">
        <v>53</v>
      </c>
      <c r="AA364" s="30" t="s">
        <v>53</v>
      </c>
      <c r="AB364" s="30" t="s">
        <v>53</v>
      </c>
      <c r="AC364" s="30" t="s">
        <v>53</v>
      </c>
      <c r="AD364" s="30" t="s">
        <v>53</v>
      </c>
      <c r="AE364" s="30" t="s">
        <v>54</v>
      </c>
      <c r="AF364" s="30" t="n">
        <v>3</v>
      </c>
      <c r="AG364" s="30" t="n">
        <v>0</v>
      </c>
      <c r="AH364" s="30" t="n">
        <v>1</v>
      </c>
      <c r="AI364" s="30" t="n">
        <v>0</v>
      </c>
      <c r="AJ364" s="30" t="n">
        <v>1</v>
      </c>
      <c r="AK364" s="30" t="n">
        <v>0</v>
      </c>
      <c r="AL364" s="26"/>
    </row>
    <row collapsed="false" customFormat="false" customHeight="false" hidden="false" ht="14.5" outlineLevel="0" r="365">
      <c r="A365" s="30" t="n">
        <v>356</v>
      </c>
      <c r="B365" s="30" t="s">
        <v>45</v>
      </c>
      <c r="C365" s="30" t="s">
        <v>46</v>
      </c>
      <c r="D365" s="30" t="s">
        <v>509</v>
      </c>
      <c r="E365" s="30" t="n">
        <v>19</v>
      </c>
      <c r="F365" s="30"/>
      <c r="G365" s="30"/>
      <c r="H365" s="30" t="s">
        <v>525</v>
      </c>
      <c r="I365" s="30" t="s">
        <v>56</v>
      </c>
      <c r="J365" s="30"/>
      <c r="K365" s="30" t="s">
        <v>101</v>
      </c>
      <c r="L365" s="30" t="s">
        <v>103</v>
      </c>
      <c r="M365" s="30" t="n">
        <v>1972</v>
      </c>
      <c r="N365" s="30" t="s">
        <v>58</v>
      </c>
      <c r="O365" s="30" t="n">
        <v>5</v>
      </c>
      <c r="P365" s="30" t="n">
        <v>0</v>
      </c>
      <c r="Q365" s="30" t="n">
        <v>4</v>
      </c>
      <c r="R365" s="30" t="n">
        <v>69</v>
      </c>
      <c r="S365" s="30" t="n">
        <v>3378.7</v>
      </c>
      <c r="T365" s="30" t="n">
        <v>3378.7</v>
      </c>
      <c r="U365" s="30" t="n">
        <v>3318.2</v>
      </c>
      <c r="V365" s="30" t="n">
        <v>60.5</v>
      </c>
      <c r="W365" s="30" t="s">
        <v>53</v>
      </c>
      <c r="X365" s="30" t="s">
        <v>53</v>
      </c>
      <c r="Y365" s="30" t="s">
        <v>54</v>
      </c>
      <c r="Z365" s="30" t="s">
        <v>53</v>
      </c>
      <c r="AA365" s="30" t="s">
        <v>53</v>
      </c>
      <c r="AB365" s="30" t="s">
        <v>53</v>
      </c>
      <c r="AC365" s="30" t="s">
        <v>53</v>
      </c>
      <c r="AD365" s="30" t="s">
        <v>53</v>
      </c>
      <c r="AE365" s="30" t="s">
        <v>54</v>
      </c>
      <c r="AF365" s="30" t="n">
        <v>0</v>
      </c>
      <c r="AG365" s="30" t="n">
        <v>0</v>
      </c>
      <c r="AH365" s="30" t="n">
        <v>1</v>
      </c>
      <c r="AI365" s="30" t="n">
        <v>0</v>
      </c>
      <c r="AJ365" s="30" t="n">
        <v>1</v>
      </c>
      <c r="AK365" s="30" t="n">
        <v>0</v>
      </c>
      <c r="AL365" s="26"/>
    </row>
    <row collapsed="false" customFormat="false" customHeight="false" hidden="false" ht="14.5" outlineLevel="0" r="366">
      <c r="A366" s="30" t="n">
        <v>357</v>
      </c>
      <c r="B366" s="30" t="s">
        <v>45</v>
      </c>
      <c r="C366" s="30" t="s">
        <v>46</v>
      </c>
      <c r="D366" s="30" t="s">
        <v>509</v>
      </c>
      <c r="E366" s="30" t="n">
        <v>20</v>
      </c>
      <c r="F366" s="30" t="n">
        <v>1</v>
      </c>
      <c r="G366" s="30"/>
      <c r="H366" s="30" t="s">
        <v>526</v>
      </c>
      <c r="I366" s="30" t="s">
        <v>56</v>
      </c>
      <c r="J366" s="30"/>
      <c r="K366" s="30" t="s">
        <v>101</v>
      </c>
      <c r="L366" s="30" t="s">
        <v>103</v>
      </c>
      <c r="M366" s="30" t="n">
        <v>1973</v>
      </c>
      <c r="N366" s="30" t="s">
        <v>58</v>
      </c>
      <c r="O366" s="30" t="n">
        <v>5</v>
      </c>
      <c r="P366" s="30" t="n">
        <v>0</v>
      </c>
      <c r="Q366" s="30" t="n">
        <v>8</v>
      </c>
      <c r="R366" s="30" t="n">
        <v>128</v>
      </c>
      <c r="S366" s="30" t="n">
        <v>6556.1</v>
      </c>
      <c r="T366" s="30" t="n">
        <v>6556.1</v>
      </c>
      <c r="U366" s="30" t="n">
        <v>6190.9</v>
      </c>
      <c r="V366" s="30" t="n">
        <v>365.2</v>
      </c>
      <c r="W366" s="30" t="s">
        <v>53</v>
      </c>
      <c r="X366" s="30" t="s">
        <v>53</v>
      </c>
      <c r="Y366" s="30" t="s">
        <v>54</v>
      </c>
      <c r="Z366" s="30" t="s">
        <v>53</v>
      </c>
      <c r="AA366" s="30" t="s">
        <v>53</v>
      </c>
      <c r="AB366" s="30" t="s">
        <v>53</v>
      </c>
      <c r="AC366" s="30" t="s">
        <v>53</v>
      </c>
      <c r="AD366" s="30" t="s">
        <v>53</v>
      </c>
      <c r="AE366" s="30" t="s">
        <v>54</v>
      </c>
      <c r="AF366" s="30" t="n">
        <v>0</v>
      </c>
      <c r="AG366" s="30" t="n">
        <v>0</v>
      </c>
      <c r="AH366" s="30" t="n">
        <v>1</v>
      </c>
      <c r="AI366" s="30" t="n">
        <v>0</v>
      </c>
      <c r="AJ366" s="30" t="n">
        <v>1</v>
      </c>
      <c r="AK366" s="30" t="n">
        <v>0</v>
      </c>
      <c r="AL366" s="26"/>
    </row>
    <row collapsed="false" customFormat="false" customHeight="false" hidden="false" ht="14.5" outlineLevel="0" r="367">
      <c r="A367" s="30" t="n">
        <v>358</v>
      </c>
      <c r="B367" s="30" t="s">
        <v>45</v>
      </c>
      <c r="C367" s="30" t="s">
        <v>46</v>
      </c>
      <c r="D367" s="30" t="s">
        <v>509</v>
      </c>
      <c r="E367" s="30" t="n">
        <v>21</v>
      </c>
      <c r="F367" s="30"/>
      <c r="G367" s="30"/>
      <c r="H367" s="30" t="s">
        <v>527</v>
      </c>
      <c r="I367" s="30" t="s">
        <v>56</v>
      </c>
      <c r="J367" s="30"/>
      <c r="K367" s="30" t="s">
        <v>101</v>
      </c>
      <c r="L367" s="30" t="s">
        <v>103</v>
      </c>
      <c r="M367" s="30" t="n">
        <v>1976</v>
      </c>
      <c r="N367" s="30" t="s">
        <v>58</v>
      </c>
      <c r="O367" s="30" t="n">
        <v>5</v>
      </c>
      <c r="P367" s="30" t="n">
        <v>0</v>
      </c>
      <c r="Q367" s="30" t="n">
        <v>7</v>
      </c>
      <c r="R367" s="30" t="n">
        <v>104</v>
      </c>
      <c r="S367" s="30" t="n">
        <v>6823.2</v>
      </c>
      <c r="T367" s="30" t="n">
        <v>6823.2</v>
      </c>
      <c r="U367" s="30" t="n">
        <v>4987.6</v>
      </c>
      <c r="V367" s="30" t="n">
        <v>1835.6</v>
      </c>
      <c r="W367" s="30" t="s">
        <v>53</v>
      </c>
      <c r="X367" s="30" t="s">
        <v>53</v>
      </c>
      <c r="Y367" s="30" t="s">
        <v>54</v>
      </c>
      <c r="Z367" s="30" t="s">
        <v>53</v>
      </c>
      <c r="AA367" s="30" t="s">
        <v>53</v>
      </c>
      <c r="AB367" s="30" t="s">
        <v>53</v>
      </c>
      <c r="AC367" s="30" t="s">
        <v>53</v>
      </c>
      <c r="AD367" s="30" t="s">
        <v>53</v>
      </c>
      <c r="AE367" s="30" t="s">
        <v>54</v>
      </c>
      <c r="AF367" s="30" t="n">
        <v>0</v>
      </c>
      <c r="AG367" s="30" t="n">
        <v>0</v>
      </c>
      <c r="AH367" s="30" t="n">
        <v>2</v>
      </c>
      <c r="AI367" s="30" t="n">
        <v>0</v>
      </c>
      <c r="AJ367" s="30" t="n">
        <v>1</v>
      </c>
      <c r="AK367" s="30" t="n">
        <v>0</v>
      </c>
      <c r="AL367" s="26"/>
    </row>
    <row collapsed="false" customFormat="false" customHeight="false" hidden="false" ht="14.5" outlineLevel="0" r="368">
      <c r="A368" s="30" t="n">
        <v>359</v>
      </c>
      <c r="B368" s="30" t="s">
        <v>45</v>
      </c>
      <c r="C368" s="30" t="s">
        <v>46</v>
      </c>
      <c r="D368" s="30" t="s">
        <v>509</v>
      </c>
      <c r="E368" s="30" t="n">
        <v>21</v>
      </c>
      <c r="F368" s="30" t="s">
        <v>67</v>
      </c>
      <c r="G368" s="30"/>
      <c r="H368" s="30" t="s">
        <v>528</v>
      </c>
      <c r="I368" s="30" t="s">
        <v>56</v>
      </c>
      <c r="J368" s="30"/>
      <c r="K368" s="30" t="s">
        <v>101</v>
      </c>
      <c r="L368" s="30" t="s">
        <v>103</v>
      </c>
      <c r="M368" s="30" t="n">
        <v>1972</v>
      </c>
      <c r="N368" s="30" t="s">
        <v>58</v>
      </c>
      <c r="O368" s="30" t="n">
        <v>5</v>
      </c>
      <c r="P368" s="30" t="n">
        <v>0</v>
      </c>
      <c r="Q368" s="30" t="n">
        <v>6</v>
      </c>
      <c r="R368" s="30" t="n">
        <v>97</v>
      </c>
      <c r="S368" s="30" t="n">
        <v>4522.5</v>
      </c>
      <c r="T368" s="30" t="n">
        <v>4522.5</v>
      </c>
      <c r="U368" s="30" t="n">
        <v>4395.8</v>
      </c>
      <c r="V368" s="30" t="n">
        <v>126.7</v>
      </c>
      <c r="W368" s="30" t="s">
        <v>53</v>
      </c>
      <c r="X368" s="30" t="s">
        <v>53</v>
      </c>
      <c r="Y368" s="30" t="s">
        <v>53</v>
      </c>
      <c r="Z368" s="30" t="s">
        <v>53</v>
      </c>
      <c r="AA368" s="30" t="s">
        <v>53</v>
      </c>
      <c r="AB368" s="30" t="s">
        <v>53</v>
      </c>
      <c r="AC368" s="30" t="s">
        <v>54</v>
      </c>
      <c r="AD368" s="30" t="s">
        <v>53</v>
      </c>
      <c r="AE368" s="30" t="s">
        <v>54</v>
      </c>
      <c r="AF368" s="30" t="n">
        <v>0</v>
      </c>
      <c r="AG368" s="30" t="n">
        <v>0</v>
      </c>
      <c r="AH368" s="30" t="n">
        <v>1</v>
      </c>
      <c r="AI368" s="30" t="n">
        <v>0</v>
      </c>
      <c r="AJ368" s="30" t="n">
        <v>1</v>
      </c>
      <c r="AK368" s="30" t="n">
        <v>0</v>
      </c>
      <c r="AL368" s="26"/>
    </row>
    <row collapsed="false" customFormat="false" customHeight="false" hidden="false" ht="14.5" outlineLevel="0" r="369">
      <c r="A369" s="30" t="n">
        <v>360</v>
      </c>
      <c r="B369" s="30" t="s">
        <v>45</v>
      </c>
      <c r="C369" s="30" t="s">
        <v>46</v>
      </c>
      <c r="D369" s="30" t="s">
        <v>509</v>
      </c>
      <c r="E369" s="30" t="s">
        <v>529</v>
      </c>
      <c r="F369" s="30"/>
      <c r="G369" s="30"/>
      <c r="H369" s="30" t="s">
        <v>530</v>
      </c>
      <c r="I369" s="30" t="s">
        <v>56</v>
      </c>
      <c r="J369" s="30"/>
      <c r="K369" s="30" t="s">
        <v>101</v>
      </c>
      <c r="L369" s="30" t="s">
        <v>51</v>
      </c>
      <c r="M369" s="30" t="n">
        <v>1981</v>
      </c>
      <c r="N369" s="30" t="s">
        <v>58</v>
      </c>
      <c r="O369" s="30" t="n">
        <v>5</v>
      </c>
      <c r="P369" s="30" t="n">
        <v>0</v>
      </c>
      <c r="Q369" s="30" t="n">
        <v>9</v>
      </c>
      <c r="R369" s="30" t="n">
        <v>104</v>
      </c>
      <c r="S369" s="30" t="n">
        <v>7885.2</v>
      </c>
      <c r="T369" s="30" t="n">
        <v>7885.2</v>
      </c>
      <c r="U369" s="30" t="n">
        <v>4974</v>
      </c>
      <c r="V369" s="30" t="n">
        <v>2911.2</v>
      </c>
      <c r="W369" s="30" t="s">
        <v>53</v>
      </c>
      <c r="X369" s="30" t="s">
        <v>53</v>
      </c>
      <c r="Y369" s="30" t="s">
        <v>53</v>
      </c>
      <c r="Z369" s="30" t="s">
        <v>53</v>
      </c>
      <c r="AA369" s="30" t="s">
        <v>53</v>
      </c>
      <c r="AB369" s="30" t="s">
        <v>53</v>
      </c>
      <c r="AC369" s="30" t="s">
        <v>54</v>
      </c>
      <c r="AD369" s="30" t="s">
        <v>53</v>
      </c>
      <c r="AE369" s="30" t="s">
        <v>54</v>
      </c>
      <c r="AF369" s="30" t="n">
        <v>0</v>
      </c>
      <c r="AG369" s="30" t="n">
        <v>0</v>
      </c>
      <c r="AH369" s="30" t="n">
        <v>1</v>
      </c>
      <c r="AI369" s="30" t="n">
        <v>0</v>
      </c>
      <c r="AJ369" s="30" t="n">
        <v>1</v>
      </c>
      <c r="AK369" s="30" t="n">
        <v>0</v>
      </c>
      <c r="AL369" s="26"/>
    </row>
    <row collapsed="false" customFormat="false" customHeight="false" hidden="false" ht="14.5" outlineLevel="0" r="370">
      <c r="A370" s="30" t="n">
        <v>361</v>
      </c>
      <c r="B370" s="30" t="s">
        <v>45</v>
      </c>
      <c r="C370" s="30" t="s">
        <v>46</v>
      </c>
      <c r="D370" s="30" t="s">
        <v>509</v>
      </c>
      <c r="E370" s="30" t="n">
        <v>23</v>
      </c>
      <c r="F370" s="30"/>
      <c r="G370" s="30"/>
      <c r="H370" s="30" t="s">
        <v>531</v>
      </c>
      <c r="I370" s="30" t="s">
        <v>56</v>
      </c>
      <c r="J370" s="30"/>
      <c r="K370" s="30" t="s">
        <v>101</v>
      </c>
      <c r="L370" s="30" t="s">
        <v>103</v>
      </c>
      <c r="M370" s="30" t="n">
        <v>1971</v>
      </c>
      <c r="N370" s="30" t="s">
        <v>58</v>
      </c>
      <c r="O370" s="30" t="n">
        <v>5</v>
      </c>
      <c r="P370" s="30" t="n">
        <v>0</v>
      </c>
      <c r="Q370" s="30" t="n">
        <v>8</v>
      </c>
      <c r="R370" s="30" t="n">
        <v>128</v>
      </c>
      <c r="S370" s="30" t="n">
        <v>6602.2</v>
      </c>
      <c r="T370" s="30" t="n">
        <v>6602.2</v>
      </c>
      <c r="U370" s="30" t="n">
        <v>6176.6</v>
      </c>
      <c r="V370" s="30" t="n">
        <v>425.6</v>
      </c>
      <c r="W370" s="30" t="s">
        <v>53</v>
      </c>
      <c r="X370" s="30" t="s">
        <v>53</v>
      </c>
      <c r="Y370" s="30" t="s">
        <v>54</v>
      </c>
      <c r="Z370" s="30" t="s">
        <v>53</v>
      </c>
      <c r="AA370" s="30" t="s">
        <v>53</v>
      </c>
      <c r="AB370" s="30" t="s">
        <v>53</v>
      </c>
      <c r="AC370" s="30" t="s">
        <v>53</v>
      </c>
      <c r="AD370" s="30" t="s">
        <v>53</v>
      </c>
      <c r="AE370" s="30" t="s">
        <v>54</v>
      </c>
      <c r="AF370" s="30" t="n">
        <v>0</v>
      </c>
      <c r="AG370" s="30" t="n">
        <v>0</v>
      </c>
      <c r="AH370" s="30" t="n">
        <v>1</v>
      </c>
      <c r="AI370" s="30" t="n">
        <v>0</v>
      </c>
      <c r="AJ370" s="30" t="n">
        <v>1</v>
      </c>
      <c r="AK370" s="30" t="n">
        <v>0</v>
      </c>
      <c r="AL370" s="26"/>
    </row>
    <row collapsed="false" customFormat="false" customHeight="false" hidden="false" ht="14.5" outlineLevel="0" r="371">
      <c r="A371" s="30" t="n">
        <v>362</v>
      </c>
      <c r="B371" s="30" t="s">
        <v>45</v>
      </c>
      <c r="C371" s="30" t="s">
        <v>46</v>
      </c>
      <c r="D371" s="30" t="s">
        <v>509</v>
      </c>
      <c r="E371" s="30" t="n">
        <v>32</v>
      </c>
      <c r="F371" s="30" t="n">
        <v>2</v>
      </c>
      <c r="G371" s="30"/>
      <c r="H371" s="30" t="s">
        <v>532</v>
      </c>
      <c r="I371" s="30" t="s">
        <v>56</v>
      </c>
      <c r="J371" s="30"/>
      <c r="K371" s="30" t="s">
        <v>138</v>
      </c>
      <c r="L371" s="30" t="s">
        <v>57</v>
      </c>
      <c r="M371" s="30" t="n">
        <v>1984</v>
      </c>
      <c r="N371" s="30" t="s">
        <v>108</v>
      </c>
      <c r="O371" s="30" t="n">
        <v>5</v>
      </c>
      <c r="P371" s="30" t="n">
        <v>0</v>
      </c>
      <c r="Q371" s="30" t="n">
        <v>5</v>
      </c>
      <c r="R371" s="30" t="n">
        <v>75</v>
      </c>
      <c r="S371" s="30" t="n">
        <v>4168.8</v>
      </c>
      <c r="T371" s="30" t="n">
        <v>4168.8</v>
      </c>
      <c r="U371" s="30" t="n">
        <v>3478.3</v>
      </c>
      <c r="V371" s="30" t="n">
        <v>690.5</v>
      </c>
      <c r="W371" s="30" t="s">
        <v>53</v>
      </c>
      <c r="X371" s="30" t="s">
        <v>53</v>
      </c>
      <c r="Y371" s="30" t="s">
        <v>53</v>
      </c>
      <c r="Z371" s="30" t="s">
        <v>53</v>
      </c>
      <c r="AA371" s="30" t="s">
        <v>53</v>
      </c>
      <c r="AB371" s="30" t="s">
        <v>53</v>
      </c>
      <c r="AC371" s="30" t="s">
        <v>54</v>
      </c>
      <c r="AD371" s="30" t="s">
        <v>53</v>
      </c>
      <c r="AE371" s="30" t="s">
        <v>54</v>
      </c>
      <c r="AF371" s="30" t="n">
        <v>0</v>
      </c>
      <c r="AG371" s="30" t="n">
        <v>0</v>
      </c>
      <c r="AH371" s="30" t="n">
        <v>2</v>
      </c>
      <c r="AI371" s="30" t="n">
        <v>0</v>
      </c>
      <c r="AJ371" s="30" t="n">
        <v>1</v>
      </c>
      <c r="AK371" s="30" t="n">
        <v>0</v>
      </c>
      <c r="AL371" s="26"/>
    </row>
    <row collapsed="false" customFormat="false" customHeight="false" hidden="false" ht="14.5" outlineLevel="0" r="372">
      <c r="A372" s="30" t="n">
        <v>363</v>
      </c>
      <c r="B372" s="30" t="s">
        <v>45</v>
      </c>
      <c r="C372" s="30" t="s">
        <v>46</v>
      </c>
      <c r="D372" s="30" t="s">
        <v>509</v>
      </c>
      <c r="E372" s="30" t="n">
        <v>34</v>
      </c>
      <c r="F372" s="30" t="n">
        <v>1</v>
      </c>
      <c r="G372" s="30"/>
      <c r="H372" s="30" t="s">
        <v>533</v>
      </c>
      <c r="I372" s="30" t="s">
        <v>56</v>
      </c>
      <c r="J372" s="30"/>
      <c r="K372" s="30" t="s">
        <v>138</v>
      </c>
      <c r="L372" s="30" t="s">
        <v>57</v>
      </c>
      <c r="M372" s="30" t="n">
        <v>1987</v>
      </c>
      <c r="N372" s="30" t="s">
        <v>108</v>
      </c>
      <c r="O372" s="30" t="n">
        <v>9</v>
      </c>
      <c r="P372" s="30" t="n">
        <v>0</v>
      </c>
      <c r="Q372" s="30" t="n">
        <v>7</v>
      </c>
      <c r="R372" s="30" t="n">
        <v>251</v>
      </c>
      <c r="S372" s="30" t="n">
        <v>14062.5</v>
      </c>
      <c r="T372" s="30" t="n">
        <v>14062.5</v>
      </c>
      <c r="U372" s="30" t="n">
        <v>14044.8</v>
      </c>
      <c r="V372" s="30"/>
      <c r="W372" s="30" t="s">
        <v>53</v>
      </c>
      <c r="X372" s="30" t="s">
        <v>53</v>
      </c>
      <c r="Y372" s="30" t="s">
        <v>53</v>
      </c>
      <c r="Z372" s="30" t="s">
        <v>53</v>
      </c>
      <c r="AA372" s="30" t="s">
        <v>53</v>
      </c>
      <c r="AB372" s="30" t="s">
        <v>53</v>
      </c>
      <c r="AC372" s="30" t="s">
        <v>54</v>
      </c>
      <c r="AD372" s="30" t="s">
        <v>53</v>
      </c>
      <c r="AE372" s="30" t="s">
        <v>54</v>
      </c>
      <c r="AF372" s="30" t="n">
        <v>7</v>
      </c>
      <c r="AG372" s="30" t="n">
        <v>0</v>
      </c>
      <c r="AH372" s="30" t="n">
        <v>1</v>
      </c>
      <c r="AI372" s="30" t="n">
        <v>0</v>
      </c>
      <c r="AJ372" s="30" t="n">
        <v>2</v>
      </c>
      <c r="AK372" s="30" t="n">
        <v>0</v>
      </c>
      <c r="AL372" s="26"/>
    </row>
    <row collapsed="false" customFormat="false" customHeight="false" hidden="false" ht="14.5" outlineLevel="0" r="373">
      <c r="A373" s="30" t="n">
        <v>364</v>
      </c>
      <c r="B373" s="30" t="s">
        <v>45</v>
      </c>
      <c r="C373" s="30" t="s">
        <v>46</v>
      </c>
      <c r="D373" s="30" t="s">
        <v>509</v>
      </c>
      <c r="E373" s="30" t="n">
        <v>36</v>
      </c>
      <c r="F373" s="30" t="n">
        <v>1</v>
      </c>
      <c r="G373" s="30"/>
      <c r="H373" s="30" t="s">
        <v>534</v>
      </c>
      <c r="I373" s="30" t="s">
        <v>56</v>
      </c>
      <c r="J373" s="30"/>
      <c r="K373" s="30" t="s">
        <v>138</v>
      </c>
      <c r="L373" s="30" t="s">
        <v>57</v>
      </c>
      <c r="M373" s="30" t="n">
        <v>1982</v>
      </c>
      <c r="N373" s="30" t="s">
        <v>108</v>
      </c>
      <c r="O373" s="30" t="n">
        <v>9</v>
      </c>
      <c r="P373" s="30" t="n">
        <v>0</v>
      </c>
      <c r="Q373" s="30" t="n">
        <v>9</v>
      </c>
      <c r="R373" s="30" t="n">
        <v>323</v>
      </c>
      <c r="S373" s="30" t="n">
        <v>16045.9</v>
      </c>
      <c r="T373" s="30" t="n">
        <v>16045.9</v>
      </c>
      <c r="U373" s="30" t="n">
        <v>16045.9</v>
      </c>
      <c r="V373" s="30"/>
      <c r="W373" s="30" t="s">
        <v>53</v>
      </c>
      <c r="X373" s="30" t="s">
        <v>53</v>
      </c>
      <c r="Y373" s="30" t="s">
        <v>53</v>
      </c>
      <c r="Z373" s="30" t="s">
        <v>53</v>
      </c>
      <c r="AA373" s="30" t="s">
        <v>53</v>
      </c>
      <c r="AB373" s="30" t="s">
        <v>53</v>
      </c>
      <c r="AC373" s="30" t="s">
        <v>54</v>
      </c>
      <c r="AD373" s="30" t="s">
        <v>53</v>
      </c>
      <c r="AE373" s="30" t="s">
        <v>54</v>
      </c>
      <c r="AF373" s="30" t="n">
        <v>9</v>
      </c>
      <c r="AG373" s="30" t="n">
        <v>0</v>
      </c>
      <c r="AH373" s="30" t="n">
        <v>1</v>
      </c>
      <c r="AI373" s="30" t="n">
        <v>0</v>
      </c>
      <c r="AJ373" s="30" t="n">
        <v>4</v>
      </c>
      <c r="AK373" s="30" t="n">
        <v>0</v>
      </c>
      <c r="AL373" s="26"/>
    </row>
    <row collapsed="false" customFormat="false" customHeight="false" hidden="false" ht="14.5" outlineLevel="0" r="374">
      <c r="A374" s="30" t="n">
        <v>365</v>
      </c>
      <c r="B374" s="30" t="s">
        <v>45</v>
      </c>
      <c r="C374" s="30" t="s">
        <v>46</v>
      </c>
      <c r="D374" s="30" t="s">
        <v>509</v>
      </c>
      <c r="E374" s="30" t="n">
        <v>36</v>
      </c>
      <c r="F374" s="30" t="n">
        <v>2</v>
      </c>
      <c r="G374" s="30"/>
      <c r="H374" s="30" t="s">
        <v>535</v>
      </c>
      <c r="I374" s="30" t="s">
        <v>56</v>
      </c>
      <c r="J374" s="30"/>
      <c r="K374" s="30" t="s">
        <v>138</v>
      </c>
      <c r="L374" s="30" t="s">
        <v>57</v>
      </c>
      <c r="M374" s="30" t="n">
        <v>1982</v>
      </c>
      <c r="N374" s="30" t="s">
        <v>108</v>
      </c>
      <c r="O374" s="30" t="n">
        <v>9</v>
      </c>
      <c r="P374" s="30" t="n">
        <v>0</v>
      </c>
      <c r="Q374" s="30" t="n">
        <v>11</v>
      </c>
      <c r="R374" s="30" t="n">
        <v>394</v>
      </c>
      <c r="S374" s="30" t="n">
        <v>19874.5</v>
      </c>
      <c r="T374" s="30" t="n">
        <v>19874.5</v>
      </c>
      <c r="U374" s="30" t="n">
        <v>19874.5</v>
      </c>
      <c r="V374" s="30"/>
      <c r="W374" s="30" t="s">
        <v>53</v>
      </c>
      <c r="X374" s="30" t="s">
        <v>53</v>
      </c>
      <c r="Y374" s="30" t="s">
        <v>53</v>
      </c>
      <c r="Z374" s="30" t="s">
        <v>53</v>
      </c>
      <c r="AA374" s="30" t="s">
        <v>53</v>
      </c>
      <c r="AB374" s="30" t="s">
        <v>53</v>
      </c>
      <c r="AC374" s="30" t="s">
        <v>54</v>
      </c>
      <c r="AD374" s="30" t="s">
        <v>53</v>
      </c>
      <c r="AE374" s="30" t="s">
        <v>54</v>
      </c>
      <c r="AF374" s="30" t="n">
        <v>11</v>
      </c>
      <c r="AG374" s="30" t="n">
        <v>0</v>
      </c>
      <c r="AH374" s="30" t="n">
        <v>1</v>
      </c>
      <c r="AI374" s="30" t="n">
        <v>0</v>
      </c>
      <c r="AJ374" s="30" t="n">
        <v>4</v>
      </c>
      <c r="AK374" s="30" t="n">
        <v>0</v>
      </c>
      <c r="AL374" s="26"/>
    </row>
    <row collapsed="false" customFormat="false" customHeight="false" hidden="false" ht="14.5" outlineLevel="0" r="375">
      <c r="A375" s="30" t="n">
        <v>366</v>
      </c>
      <c r="B375" s="30" t="s">
        <v>45</v>
      </c>
      <c r="C375" s="30" t="s">
        <v>206</v>
      </c>
      <c r="D375" s="30" t="s">
        <v>536</v>
      </c>
      <c r="E375" s="30" t="n">
        <v>4</v>
      </c>
      <c r="F375" s="30"/>
      <c r="G375" s="30"/>
      <c r="H375" s="30" t="s">
        <v>537</v>
      </c>
      <c r="I375" s="30" t="s">
        <v>56</v>
      </c>
      <c r="J375" s="30"/>
      <c r="K375" s="30" t="s">
        <v>64</v>
      </c>
      <c r="L375" s="30"/>
      <c r="M375" s="30" t="n">
        <v>1958</v>
      </c>
      <c r="N375" s="30" t="s">
        <v>58</v>
      </c>
      <c r="O375" s="30" t="n">
        <v>3</v>
      </c>
      <c r="P375" s="30" t="n">
        <v>0</v>
      </c>
      <c r="Q375" s="30" t="n">
        <v>3</v>
      </c>
      <c r="R375" s="30" t="n">
        <v>32</v>
      </c>
      <c r="S375" s="30" t="n">
        <v>1622.6</v>
      </c>
      <c r="T375" s="30" t="n">
        <v>1622.6</v>
      </c>
      <c r="U375" s="30" t="n">
        <v>1622.6</v>
      </c>
      <c r="V375" s="30"/>
      <c r="W375" s="30" t="s">
        <v>53</v>
      </c>
      <c r="X375" s="30" t="s">
        <v>53</v>
      </c>
      <c r="Y375" s="30" t="s">
        <v>54</v>
      </c>
      <c r="Z375" s="30" t="s">
        <v>53</v>
      </c>
      <c r="AA375" s="30" t="s">
        <v>53</v>
      </c>
      <c r="AB375" s="30" t="s">
        <v>53</v>
      </c>
      <c r="AC375" s="30" t="s">
        <v>53</v>
      </c>
      <c r="AD375" s="30" t="s">
        <v>53</v>
      </c>
      <c r="AE375" s="30" t="s">
        <v>54</v>
      </c>
      <c r="AF375" s="30" t="n">
        <v>0</v>
      </c>
      <c r="AG375" s="30" t="n">
        <v>0</v>
      </c>
      <c r="AH375" s="30" t="n">
        <v>0</v>
      </c>
      <c r="AI375" s="30" t="n">
        <v>0</v>
      </c>
      <c r="AJ375" s="30" t="n">
        <v>0</v>
      </c>
      <c r="AK375" s="30" t="n">
        <v>0</v>
      </c>
      <c r="AL375" s="26"/>
    </row>
    <row collapsed="false" customFormat="false" customHeight="false" hidden="false" ht="14.5" outlineLevel="0" r="376">
      <c r="A376" s="30" t="n">
        <v>367</v>
      </c>
      <c r="B376" s="30" t="s">
        <v>45</v>
      </c>
      <c r="C376" s="30" t="s">
        <v>206</v>
      </c>
      <c r="D376" s="30" t="s">
        <v>536</v>
      </c>
      <c r="E376" s="30" t="n">
        <v>8</v>
      </c>
      <c r="F376" s="30"/>
      <c r="G376" s="30"/>
      <c r="H376" s="30" t="s">
        <v>538</v>
      </c>
      <c r="I376" s="30" t="s">
        <v>56</v>
      </c>
      <c r="J376" s="30"/>
      <c r="K376" s="30" t="s">
        <v>64</v>
      </c>
      <c r="L376" s="30"/>
      <c r="M376" s="30" t="n">
        <v>1960</v>
      </c>
      <c r="N376" s="30" t="s">
        <v>58</v>
      </c>
      <c r="O376" s="30" t="n">
        <v>3</v>
      </c>
      <c r="P376" s="30" t="n">
        <v>0</v>
      </c>
      <c r="Q376" s="30" t="n">
        <v>2</v>
      </c>
      <c r="R376" s="30" t="n">
        <v>24</v>
      </c>
      <c r="S376" s="30" t="n">
        <v>968.5</v>
      </c>
      <c r="T376" s="30" t="n">
        <v>968.5</v>
      </c>
      <c r="U376" s="30" t="n">
        <v>968.5</v>
      </c>
      <c r="V376" s="30"/>
      <c r="W376" s="30" t="s">
        <v>53</v>
      </c>
      <c r="X376" s="30" t="s">
        <v>53</v>
      </c>
      <c r="Y376" s="30" t="s">
        <v>54</v>
      </c>
      <c r="Z376" s="30" t="s">
        <v>53</v>
      </c>
      <c r="AA376" s="30" t="s">
        <v>53</v>
      </c>
      <c r="AB376" s="30" t="s">
        <v>53</v>
      </c>
      <c r="AC376" s="30" t="s">
        <v>53</v>
      </c>
      <c r="AD376" s="30" t="s">
        <v>53</v>
      </c>
      <c r="AE376" s="30" t="s">
        <v>54</v>
      </c>
      <c r="AF376" s="30" t="n">
        <v>0</v>
      </c>
      <c r="AG376" s="30" t="n">
        <v>0</v>
      </c>
      <c r="AH376" s="30" t="n">
        <v>1</v>
      </c>
      <c r="AI376" s="30" t="n">
        <v>0</v>
      </c>
      <c r="AJ376" s="30" t="n">
        <v>0</v>
      </c>
      <c r="AK376" s="30" t="n">
        <v>0</v>
      </c>
      <c r="AL376" s="26"/>
    </row>
    <row collapsed="false" customFormat="false" customHeight="false" hidden="false" ht="14.5" outlineLevel="0" r="377">
      <c r="A377" s="30" t="n">
        <v>368</v>
      </c>
      <c r="B377" s="30" t="s">
        <v>45</v>
      </c>
      <c r="C377" s="30" t="s">
        <v>206</v>
      </c>
      <c r="D377" s="30" t="s">
        <v>536</v>
      </c>
      <c r="E377" s="30" t="n">
        <v>9</v>
      </c>
      <c r="F377" s="30"/>
      <c r="G377" s="30"/>
      <c r="H377" s="30" t="s">
        <v>539</v>
      </c>
      <c r="I377" s="30" t="s">
        <v>56</v>
      </c>
      <c r="J377" s="30"/>
      <c r="K377" s="30" t="s">
        <v>64</v>
      </c>
      <c r="L377" s="30"/>
      <c r="M377" s="30" t="n">
        <v>1959</v>
      </c>
      <c r="N377" s="30" t="s">
        <v>58</v>
      </c>
      <c r="O377" s="30" t="n">
        <v>3</v>
      </c>
      <c r="P377" s="30" t="n">
        <v>0</v>
      </c>
      <c r="Q377" s="30" t="n">
        <v>2</v>
      </c>
      <c r="R377" s="30" t="n">
        <v>24</v>
      </c>
      <c r="S377" s="30" t="n">
        <v>944.5</v>
      </c>
      <c r="T377" s="30" t="n">
        <v>944.5</v>
      </c>
      <c r="U377" s="30" t="n">
        <v>944.5</v>
      </c>
      <c r="V377" s="30"/>
      <c r="W377" s="30" t="s">
        <v>53</v>
      </c>
      <c r="X377" s="30" t="s">
        <v>53</v>
      </c>
      <c r="Y377" s="30" t="s">
        <v>54</v>
      </c>
      <c r="Z377" s="30" t="s">
        <v>53</v>
      </c>
      <c r="AA377" s="30" t="s">
        <v>53</v>
      </c>
      <c r="AB377" s="30" t="s">
        <v>53</v>
      </c>
      <c r="AC377" s="30" t="s">
        <v>53</v>
      </c>
      <c r="AD377" s="30" t="s">
        <v>53</v>
      </c>
      <c r="AE377" s="30" t="s">
        <v>54</v>
      </c>
      <c r="AF377" s="30" t="n">
        <v>0</v>
      </c>
      <c r="AG377" s="30" t="n">
        <v>0</v>
      </c>
      <c r="AH377" s="30" t="n">
        <v>1</v>
      </c>
      <c r="AI377" s="30" t="n">
        <v>0</v>
      </c>
      <c r="AJ377" s="30" t="n">
        <v>0</v>
      </c>
      <c r="AK377" s="30" t="n">
        <v>0</v>
      </c>
      <c r="AL377" s="26"/>
    </row>
    <row collapsed="false" customFormat="false" customHeight="false" hidden="false" ht="14.5" outlineLevel="0" r="378">
      <c r="A378" s="30" t="n">
        <v>369</v>
      </c>
      <c r="B378" s="30" t="s">
        <v>45</v>
      </c>
      <c r="C378" s="30" t="s">
        <v>206</v>
      </c>
      <c r="D378" s="30" t="s">
        <v>540</v>
      </c>
      <c r="E378" s="30" t="n">
        <v>3</v>
      </c>
      <c r="F378" s="30" t="s">
        <v>67</v>
      </c>
      <c r="G378" s="30"/>
      <c r="H378" s="30" t="s">
        <v>541</v>
      </c>
      <c r="I378" s="30" t="s">
        <v>56</v>
      </c>
      <c r="J378" s="30"/>
      <c r="K378" s="30" t="s">
        <v>64</v>
      </c>
      <c r="L378" s="30"/>
      <c r="M378" s="30" t="n">
        <v>1958</v>
      </c>
      <c r="N378" s="30" t="s">
        <v>58</v>
      </c>
      <c r="O378" s="30" t="n">
        <v>3</v>
      </c>
      <c r="P378" s="30" t="n">
        <v>0</v>
      </c>
      <c r="Q378" s="30" t="n">
        <v>3</v>
      </c>
      <c r="R378" s="30" t="n">
        <v>29</v>
      </c>
      <c r="S378" s="30" t="n">
        <v>1690.2</v>
      </c>
      <c r="T378" s="30" t="n">
        <v>1690.2</v>
      </c>
      <c r="U378" s="30" t="n">
        <v>1464</v>
      </c>
      <c r="V378" s="30" t="n">
        <v>226.2</v>
      </c>
      <c r="W378" s="30" t="s">
        <v>53</v>
      </c>
      <c r="X378" s="30" t="s">
        <v>53</v>
      </c>
      <c r="Y378" s="30" t="s">
        <v>54</v>
      </c>
      <c r="Z378" s="30" t="s">
        <v>53</v>
      </c>
      <c r="AA378" s="30" t="s">
        <v>53</v>
      </c>
      <c r="AB378" s="30" t="s">
        <v>53</v>
      </c>
      <c r="AC378" s="30" t="s">
        <v>53</v>
      </c>
      <c r="AD378" s="30" t="s">
        <v>53</v>
      </c>
      <c r="AE378" s="30" t="s">
        <v>54</v>
      </c>
      <c r="AF378" s="30" t="n">
        <v>0</v>
      </c>
      <c r="AG378" s="30" t="n">
        <v>0</v>
      </c>
      <c r="AH378" s="30" t="n">
        <v>1</v>
      </c>
      <c r="AI378" s="30" t="n">
        <v>0</v>
      </c>
      <c r="AJ378" s="30" t="n">
        <v>0</v>
      </c>
      <c r="AK378" s="30" t="n">
        <v>0</v>
      </c>
      <c r="AL378" s="26"/>
    </row>
    <row collapsed="false" customFormat="false" customHeight="false" hidden="false" ht="14.5" outlineLevel="0" r="379">
      <c r="A379" s="30" t="n">
        <v>370</v>
      </c>
      <c r="B379" s="30" t="s">
        <v>45</v>
      </c>
      <c r="C379" s="30" t="s">
        <v>206</v>
      </c>
      <c r="D379" s="30" t="s">
        <v>540</v>
      </c>
      <c r="E379" s="30" t="n">
        <v>5</v>
      </c>
      <c r="F379" s="30"/>
      <c r="G379" s="30"/>
      <c r="H379" s="30" t="s">
        <v>542</v>
      </c>
      <c r="I379" s="30" t="s">
        <v>56</v>
      </c>
      <c r="J379" s="30"/>
      <c r="K379" s="30" t="s">
        <v>64</v>
      </c>
      <c r="L379" s="30"/>
      <c r="M379" s="30" t="n">
        <v>1957</v>
      </c>
      <c r="N379" s="30" t="s">
        <v>58</v>
      </c>
      <c r="O379" s="30" t="n">
        <v>3</v>
      </c>
      <c r="P379" s="30" t="n">
        <v>0</v>
      </c>
      <c r="Q379" s="30" t="n">
        <v>3</v>
      </c>
      <c r="R379" s="30" t="n">
        <v>26</v>
      </c>
      <c r="S379" s="30" t="n">
        <v>1392.8</v>
      </c>
      <c r="T379" s="30" t="n">
        <v>1392.8</v>
      </c>
      <c r="U379" s="30" t="n">
        <v>1392.8</v>
      </c>
      <c r="V379" s="30"/>
      <c r="W379" s="30" t="s">
        <v>53</v>
      </c>
      <c r="X379" s="30" t="s">
        <v>53</v>
      </c>
      <c r="Y379" s="30" t="s">
        <v>54</v>
      </c>
      <c r="Z379" s="30" t="s">
        <v>53</v>
      </c>
      <c r="AA379" s="30" t="s">
        <v>53</v>
      </c>
      <c r="AB379" s="30" t="s">
        <v>53</v>
      </c>
      <c r="AC379" s="30" t="s">
        <v>53</v>
      </c>
      <c r="AD379" s="30" t="s">
        <v>53</v>
      </c>
      <c r="AE379" s="30" t="s">
        <v>54</v>
      </c>
      <c r="AF379" s="30" t="n">
        <v>0</v>
      </c>
      <c r="AG379" s="30" t="n">
        <v>0</v>
      </c>
      <c r="AH379" s="30" t="n">
        <v>0</v>
      </c>
      <c r="AI379" s="30" t="n">
        <v>0</v>
      </c>
      <c r="AJ379" s="30" t="n">
        <v>0</v>
      </c>
      <c r="AK379" s="30" t="n">
        <v>0</v>
      </c>
      <c r="AL379" s="26"/>
    </row>
    <row collapsed="false" customFormat="false" customHeight="false" hidden="false" ht="14.5" outlineLevel="0" r="380">
      <c r="A380" s="30" t="n">
        <v>371</v>
      </c>
      <c r="B380" s="30" t="s">
        <v>45</v>
      </c>
      <c r="C380" s="30" t="s">
        <v>46</v>
      </c>
      <c r="D380" s="30" t="s">
        <v>543</v>
      </c>
      <c r="E380" s="30" t="n">
        <v>11</v>
      </c>
      <c r="F380" s="30" t="s">
        <v>67</v>
      </c>
      <c r="G380" s="30"/>
      <c r="H380" s="30" t="s">
        <v>544</v>
      </c>
      <c r="I380" s="30" t="s">
        <v>56</v>
      </c>
      <c r="J380" s="30"/>
      <c r="K380" s="30" t="s">
        <v>64</v>
      </c>
      <c r="L380" s="30" t="s">
        <v>57</v>
      </c>
      <c r="M380" s="30" t="n">
        <v>1968</v>
      </c>
      <c r="N380" s="30" t="s">
        <v>108</v>
      </c>
      <c r="O380" s="30" t="n">
        <v>5</v>
      </c>
      <c r="P380" s="30" t="n">
        <v>0</v>
      </c>
      <c r="Q380" s="30" t="n">
        <v>7</v>
      </c>
      <c r="R380" s="30" t="n">
        <v>70</v>
      </c>
      <c r="S380" s="30" t="n">
        <v>3233.2</v>
      </c>
      <c r="T380" s="30" t="n">
        <v>3233.2</v>
      </c>
      <c r="U380" s="30" t="n">
        <v>3233.2</v>
      </c>
      <c r="V380" s="30"/>
      <c r="W380" s="30" t="s">
        <v>53</v>
      </c>
      <c r="X380" s="30" t="s">
        <v>53</v>
      </c>
      <c r="Y380" s="30" t="s">
        <v>53</v>
      </c>
      <c r="Z380" s="30" t="s">
        <v>53</v>
      </c>
      <c r="AA380" s="30" t="s">
        <v>53</v>
      </c>
      <c r="AB380" s="30" t="s">
        <v>53</v>
      </c>
      <c r="AC380" s="30" t="s">
        <v>54</v>
      </c>
      <c r="AD380" s="30" t="s">
        <v>53</v>
      </c>
      <c r="AE380" s="30" t="s">
        <v>54</v>
      </c>
      <c r="AF380" s="30" t="n">
        <v>0</v>
      </c>
      <c r="AG380" s="30" t="n">
        <v>0</v>
      </c>
      <c r="AH380" s="30" t="n">
        <v>1</v>
      </c>
      <c r="AI380" s="30" t="n">
        <v>0</v>
      </c>
      <c r="AJ380" s="30" t="n">
        <v>1</v>
      </c>
      <c r="AK380" s="30" t="n">
        <v>0</v>
      </c>
      <c r="AL380" s="26"/>
    </row>
    <row collapsed="false" customFormat="false" customHeight="false" hidden="false" ht="14.5" outlineLevel="0" r="381">
      <c r="A381" s="30" t="n">
        <v>372</v>
      </c>
      <c r="B381" s="30" t="s">
        <v>45</v>
      </c>
      <c r="C381" s="30" t="s">
        <v>46</v>
      </c>
      <c r="D381" s="30" t="s">
        <v>543</v>
      </c>
      <c r="E381" s="30" t="n">
        <v>25</v>
      </c>
      <c r="F381" s="30"/>
      <c r="G381" s="30"/>
      <c r="H381" s="30" t="s">
        <v>545</v>
      </c>
      <c r="I381" s="30" t="s">
        <v>56</v>
      </c>
      <c r="J381" s="30"/>
      <c r="K381" s="30" t="s">
        <v>64</v>
      </c>
      <c r="L381" s="30" t="s">
        <v>57</v>
      </c>
      <c r="M381" s="30" t="n">
        <v>1961</v>
      </c>
      <c r="N381" s="30" t="s">
        <v>58</v>
      </c>
      <c r="O381" s="30" t="n">
        <v>2</v>
      </c>
      <c r="P381" s="30" t="n">
        <v>0</v>
      </c>
      <c r="Q381" s="30" t="n">
        <v>2</v>
      </c>
      <c r="R381" s="30" t="n">
        <v>16</v>
      </c>
      <c r="S381" s="30" t="n">
        <v>676.3</v>
      </c>
      <c r="T381" s="30" t="n">
        <v>676.3</v>
      </c>
      <c r="U381" s="30" t="n">
        <v>676.3</v>
      </c>
      <c r="V381" s="30"/>
      <c r="W381" s="30" t="s">
        <v>53</v>
      </c>
      <c r="X381" s="30" t="s">
        <v>53</v>
      </c>
      <c r="Y381" s="30" t="s">
        <v>54</v>
      </c>
      <c r="Z381" s="30" t="s">
        <v>53</v>
      </c>
      <c r="AA381" s="30" t="s">
        <v>53</v>
      </c>
      <c r="AB381" s="30" t="s">
        <v>53</v>
      </c>
      <c r="AC381" s="30" t="s">
        <v>53</v>
      </c>
      <c r="AD381" s="30" t="s">
        <v>53</v>
      </c>
      <c r="AE381" s="30" t="s">
        <v>54</v>
      </c>
      <c r="AF381" s="30" t="n">
        <v>0</v>
      </c>
      <c r="AG381" s="30" t="n">
        <v>0</v>
      </c>
      <c r="AH381" s="30" t="n">
        <v>1</v>
      </c>
      <c r="AI381" s="30" t="n">
        <v>0</v>
      </c>
      <c r="AJ381" s="30" t="n">
        <v>0</v>
      </c>
      <c r="AK381" s="30" t="n">
        <v>0</v>
      </c>
      <c r="AL381" s="26"/>
    </row>
    <row collapsed="false" customFormat="false" customHeight="false" hidden="false" ht="14.5" outlineLevel="0" r="382">
      <c r="A382" s="30" t="n">
        <v>373</v>
      </c>
      <c r="B382" s="30" t="s">
        <v>45</v>
      </c>
      <c r="C382" s="30" t="s">
        <v>46</v>
      </c>
      <c r="D382" s="30" t="s">
        <v>543</v>
      </c>
      <c r="E382" s="30" t="n">
        <v>26</v>
      </c>
      <c r="F382" s="30"/>
      <c r="G382" s="30"/>
      <c r="H382" s="30" t="s">
        <v>546</v>
      </c>
      <c r="I382" s="30" t="s">
        <v>56</v>
      </c>
      <c r="J382" s="30"/>
      <c r="K382" s="30" t="s">
        <v>64</v>
      </c>
      <c r="L382" s="30" t="s">
        <v>57</v>
      </c>
      <c r="M382" s="30" t="n">
        <v>1960</v>
      </c>
      <c r="N382" s="30" t="s">
        <v>58</v>
      </c>
      <c r="O382" s="30" t="n">
        <v>2</v>
      </c>
      <c r="P382" s="30" t="n">
        <v>0</v>
      </c>
      <c r="Q382" s="30" t="n">
        <v>2</v>
      </c>
      <c r="R382" s="30" t="n">
        <v>16</v>
      </c>
      <c r="S382" s="30" t="n">
        <v>562.5</v>
      </c>
      <c r="T382" s="30" t="n">
        <v>562.5</v>
      </c>
      <c r="U382" s="30" t="n">
        <v>562.5</v>
      </c>
      <c r="V382" s="30"/>
      <c r="W382" s="30" t="s">
        <v>53</v>
      </c>
      <c r="X382" s="30" t="s">
        <v>53</v>
      </c>
      <c r="Y382" s="30" t="s">
        <v>54</v>
      </c>
      <c r="Z382" s="30" t="s">
        <v>53</v>
      </c>
      <c r="AA382" s="30" t="s">
        <v>53</v>
      </c>
      <c r="AB382" s="30" t="s">
        <v>53</v>
      </c>
      <c r="AC382" s="30" t="s">
        <v>53</v>
      </c>
      <c r="AD382" s="30" t="s">
        <v>53</v>
      </c>
      <c r="AE382" s="30" t="s">
        <v>54</v>
      </c>
      <c r="AF382" s="30" t="n">
        <v>0</v>
      </c>
      <c r="AG382" s="30" t="n">
        <v>0</v>
      </c>
      <c r="AH382" s="30" t="n">
        <v>2</v>
      </c>
      <c r="AI382" s="30" t="n">
        <v>0</v>
      </c>
      <c r="AJ382" s="30" t="n">
        <v>0</v>
      </c>
      <c r="AK382" s="30" t="n">
        <v>0</v>
      </c>
      <c r="AL382" s="26"/>
    </row>
    <row collapsed="false" customFormat="false" customHeight="false" hidden="false" ht="14.5" outlineLevel="0" r="383">
      <c r="A383" s="30" t="n">
        <v>374</v>
      </c>
      <c r="B383" s="30" t="s">
        <v>45</v>
      </c>
      <c r="C383" s="30" t="s">
        <v>59</v>
      </c>
      <c r="D383" s="30" t="s">
        <v>547</v>
      </c>
      <c r="E383" s="30" t="n">
        <v>3</v>
      </c>
      <c r="F383" s="30"/>
      <c r="G383" s="30"/>
      <c r="H383" s="30" t="s">
        <v>548</v>
      </c>
      <c r="I383" s="30" t="s">
        <v>56</v>
      </c>
      <c r="J383" s="30" t="s">
        <v>86</v>
      </c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26"/>
    </row>
    <row collapsed="false" customFormat="false" customHeight="false" hidden="false" ht="14.5" outlineLevel="0" r="384">
      <c r="A384" s="30" t="n">
        <v>375</v>
      </c>
      <c r="B384" s="30" t="s">
        <v>45</v>
      </c>
      <c r="C384" s="30" t="s">
        <v>59</v>
      </c>
      <c r="D384" s="30" t="s">
        <v>547</v>
      </c>
      <c r="E384" s="30" t="n">
        <v>10</v>
      </c>
      <c r="F384" s="30"/>
      <c r="G384" s="30"/>
      <c r="H384" s="30" t="s">
        <v>549</v>
      </c>
      <c r="I384" s="30" t="s">
        <v>56</v>
      </c>
      <c r="J384" s="30" t="s">
        <v>86</v>
      </c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26"/>
    </row>
    <row collapsed="false" customFormat="false" customHeight="false" hidden="false" ht="14.5" outlineLevel="0" r="385">
      <c r="A385" s="30" t="n">
        <v>376</v>
      </c>
      <c r="B385" s="30" t="s">
        <v>45</v>
      </c>
      <c r="C385" s="30" t="s">
        <v>46</v>
      </c>
      <c r="D385" s="30" t="s">
        <v>550</v>
      </c>
      <c r="E385" s="30" t="n">
        <v>20</v>
      </c>
      <c r="F385" s="30"/>
      <c r="G385" s="30"/>
      <c r="H385" s="30" t="s">
        <v>551</v>
      </c>
      <c r="I385" s="30" t="s">
        <v>56</v>
      </c>
      <c r="J385" s="30"/>
      <c r="K385" s="30" t="s">
        <v>101</v>
      </c>
      <c r="L385" s="30" t="s">
        <v>103</v>
      </c>
      <c r="M385" s="30" t="n">
        <v>1973</v>
      </c>
      <c r="N385" s="30" t="s">
        <v>58</v>
      </c>
      <c r="O385" s="30" t="n">
        <v>5</v>
      </c>
      <c r="P385" s="30" t="n">
        <v>0</v>
      </c>
      <c r="Q385" s="30" t="n">
        <v>4</v>
      </c>
      <c r="R385" s="30" t="n">
        <v>68</v>
      </c>
      <c r="S385" s="30" t="n">
        <v>3433.5</v>
      </c>
      <c r="T385" s="30" t="n">
        <v>3433.5</v>
      </c>
      <c r="U385" s="30" t="n">
        <v>3323.1</v>
      </c>
      <c r="V385" s="30" t="n">
        <v>110.4</v>
      </c>
      <c r="W385" s="30" t="s">
        <v>53</v>
      </c>
      <c r="X385" s="30" t="s">
        <v>53</v>
      </c>
      <c r="Y385" s="30" t="s">
        <v>53</v>
      </c>
      <c r="Z385" s="30" t="s">
        <v>53</v>
      </c>
      <c r="AA385" s="30" t="s">
        <v>53</v>
      </c>
      <c r="AB385" s="30" t="s">
        <v>53</v>
      </c>
      <c r="AC385" s="30" t="s">
        <v>54</v>
      </c>
      <c r="AD385" s="30" t="s">
        <v>53</v>
      </c>
      <c r="AE385" s="30" t="s">
        <v>54</v>
      </c>
      <c r="AF385" s="30" t="n">
        <v>0</v>
      </c>
      <c r="AG385" s="30" t="n">
        <v>0</v>
      </c>
      <c r="AH385" s="30" t="n">
        <v>1</v>
      </c>
      <c r="AI385" s="30" t="n">
        <v>1</v>
      </c>
      <c r="AJ385" s="30" t="n">
        <v>1</v>
      </c>
      <c r="AK385" s="30" t="n">
        <v>0</v>
      </c>
      <c r="AL385" s="26"/>
    </row>
    <row collapsed="false" customFormat="false" customHeight="false" hidden="false" ht="14.5" outlineLevel="0" r="386">
      <c r="A386" s="30" t="n">
        <v>377</v>
      </c>
      <c r="B386" s="30" t="s">
        <v>45</v>
      </c>
      <c r="C386" s="30" t="s">
        <v>59</v>
      </c>
      <c r="D386" s="30" t="s">
        <v>552</v>
      </c>
      <c r="E386" s="30" t="s">
        <v>553</v>
      </c>
      <c r="F386" s="30"/>
      <c r="G386" s="30"/>
      <c r="H386" s="30" t="s">
        <v>554</v>
      </c>
      <c r="I386" s="30" t="s">
        <v>56</v>
      </c>
      <c r="J386" s="30"/>
      <c r="K386" s="30" t="s">
        <v>64</v>
      </c>
      <c r="L386" s="30"/>
      <c r="M386" s="30" t="n">
        <v>1960</v>
      </c>
      <c r="N386" s="30" t="s">
        <v>58</v>
      </c>
      <c r="O386" s="30" t="n">
        <v>3</v>
      </c>
      <c r="P386" s="30" t="n">
        <v>0</v>
      </c>
      <c r="Q386" s="30" t="n">
        <v>2</v>
      </c>
      <c r="R386" s="30" t="n">
        <v>23</v>
      </c>
      <c r="S386" s="30" t="n">
        <v>945</v>
      </c>
      <c r="T386" s="30" t="n">
        <v>945</v>
      </c>
      <c r="U386" s="30" t="n">
        <v>945</v>
      </c>
      <c r="V386" s="30"/>
      <c r="W386" s="30" t="s">
        <v>53</v>
      </c>
      <c r="X386" s="30" t="s">
        <v>53</v>
      </c>
      <c r="Y386" s="30" t="s">
        <v>53</v>
      </c>
      <c r="Z386" s="30" t="s">
        <v>53</v>
      </c>
      <c r="AA386" s="30" t="s">
        <v>53</v>
      </c>
      <c r="AB386" s="30" t="s">
        <v>53</v>
      </c>
      <c r="AC386" s="30" t="s">
        <v>53</v>
      </c>
      <c r="AD386" s="30" t="s">
        <v>53</v>
      </c>
      <c r="AE386" s="30" t="s">
        <v>54</v>
      </c>
      <c r="AF386" s="30" t="n">
        <v>0</v>
      </c>
      <c r="AG386" s="30" t="n">
        <v>0</v>
      </c>
      <c r="AH386" s="30" t="n">
        <v>1</v>
      </c>
      <c r="AI386" s="30" t="n">
        <v>0</v>
      </c>
      <c r="AJ386" s="30" t="n">
        <v>1</v>
      </c>
      <c r="AK386" s="30" t="n">
        <v>0</v>
      </c>
      <c r="AL386" s="26"/>
    </row>
    <row collapsed="false" customFormat="false" customHeight="false" hidden="false" ht="14.5" outlineLevel="0" r="387">
      <c r="A387" s="30" t="n">
        <v>378</v>
      </c>
      <c r="B387" s="30" t="s">
        <v>45</v>
      </c>
      <c r="C387" s="30" t="s">
        <v>59</v>
      </c>
      <c r="D387" s="30" t="s">
        <v>552</v>
      </c>
      <c r="E387" s="30" t="n">
        <v>3</v>
      </c>
      <c r="F387" s="30"/>
      <c r="G387" s="30"/>
      <c r="H387" s="30" t="s">
        <v>555</v>
      </c>
      <c r="I387" s="30" t="s">
        <v>56</v>
      </c>
      <c r="J387" s="30"/>
      <c r="K387" s="30" t="s">
        <v>101</v>
      </c>
      <c r="L387" s="30"/>
      <c r="M387" s="30" t="n">
        <v>1973</v>
      </c>
      <c r="N387" s="30" t="s">
        <v>58</v>
      </c>
      <c r="O387" s="30" t="n">
        <v>5</v>
      </c>
      <c r="P387" s="30" t="n">
        <v>0</v>
      </c>
      <c r="Q387" s="30" t="n">
        <v>4</v>
      </c>
      <c r="R387" s="30" t="n">
        <v>80</v>
      </c>
      <c r="S387" s="30" t="n">
        <v>3469</v>
      </c>
      <c r="T387" s="30" t="n">
        <v>3469</v>
      </c>
      <c r="U387" s="30" t="n">
        <v>3469</v>
      </c>
      <c r="V387" s="30"/>
      <c r="W387" s="30" t="s">
        <v>53</v>
      </c>
      <c r="X387" s="30" t="s">
        <v>53</v>
      </c>
      <c r="Y387" s="30" t="s">
        <v>53</v>
      </c>
      <c r="Z387" s="30" t="s">
        <v>53</v>
      </c>
      <c r="AA387" s="30" t="s">
        <v>53</v>
      </c>
      <c r="AB387" s="30" t="s">
        <v>53</v>
      </c>
      <c r="AC387" s="30" t="s">
        <v>53</v>
      </c>
      <c r="AD387" s="30" t="s">
        <v>53</v>
      </c>
      <c r="AE387" s="30" t="s">
        <v>54</v>
      </c>
      <c r="AF387" s="30" t="n">
        <v>0</v>
      </c>
      <c r="AG387" s="30" t="n">
        <v>0</v>
      </c>
      <c r="AH387" s="30" t="n">
        <v>1</v>
      </c>
      <c r="AI387" s="30" t="n">
        <v>0</v>
      </c>
      <c r="AJ387" s="30" t="n">
        <v>1</v>
      </c>
      <c r="AK387" s="30" t="n">
        <v>0</v>
      </c>
      <c r="AL387" s="26"/>
    </row>
    <row collapsed="false" customFormat="false" customHeight="false" hidden="false" ht="14.5" outlineLevel="0" r="388">
      <c r="A388" s="30" t="n">
        <v>379</v>
      </c>
      <c r="B388" s="30" t="s">
        <v>45</v>
      </c>
      <c r="C388" s="30" t="s">
        <v>59</v>
      </c>
      <c r="D388" s="30" t="s">
        <v>552</v>
      </c>
      <c r="E388" s="30" t="n">
        <v>4</v>
      </c>
      <c r="F388" s="30"/>
      <c r="G388" s="30"/>
      <c r="H388" s="30" t="s">
        <v>556</v>
      </c>
      <c r="I388" s="30" t="s">
        <v>56</v>
      </c>
      <c r="J388" s="30"/>
      <c r="K388" s="30" t="s">
        <v>64</v>
      </c>
      <c r="L388" s="30"/>
      <c r="M388" s="30" t="n">
        <v>1961</v>
      </c>
      <c r="N388" s="30" t="s">
        <v>58</v>
      </c>
      <c r="O388" s="30" t="n">
        <v>3</v>
      </c>
      <c r="P388" s="30" t="n">
        <v>0</v>
      </c>
      <c r="Q388" s="30" t="n">
        <v>3</v>
      </c>
      <c r="R388" s="30" t="n">
        <v>36</v>
      </c>
      <c r="S388" s="30" t="n">
        <v>1482</v>
      </c>
      <c r="T388" s="30" t="n">
        <v>1482</v>
      </c>
      <c r="U388" s="30" t="n">
        <v>1482</v>
      </c>
      <c r="V388" s="30"/>
      <c r="W388" s="30" t="s">
        <v>53</v>
      </c>
      <c r="X388" s="30" t="s">
        <v>53</v>
      </c>
      <c r="Y388" s="30" t="s">
        <v>53</v>
      </c>
      <c r="Z388" s="30" t="s">
        <v>53</v>
      </c>
      <c r="AA388" s="30" t="s">
        <v>53</v>
      </c>
      <c r="AB388" s="30" t="s">
        <v>53</v>
      </c>
      <c r="AC388" s="30" t="s">
        <v>53</v>
      </c>
      <c r="AD388" s="30" t="s">
        <v>53</v>
      </c>
      <c r="AE388" s="30" t="s">
        <v>54</v>
      </c>
      <c r="AF388" s="30" t="n">
        <v>0</v>
      </c>
      <c r="AG388" s="30" t="n">
        <v>0</v>
      </c>
      <c r="AH388" s="30" t="n">
        <v>0</v>
      </c>
      <c r="AI388" s="30" t="n">
        <v>0</v>
      </c>
      <c r="AJ388" s="30" t="n">
        <v>1</v>
      </c>
      <c r="AK388" s="30" t="n">
        <v>0</v>
      </c>
      <c r="AL388" s="26"/>
    </row>
    <row collapsed="false" customFormat="false" customHeight="false" hidden="false" ht="14.5" outlineLevel="0" r="389">
      <c r="A389" s="30" t="n">
        <v>380</v>
      </c>
      <c r="B389" s="30" t="s">
        <v>45</v>
      </c>
      <c r="C389" s="30" t="s">
        <v>59</v>
      </c>
      <c r="D389" s="30" t="s">
        <v>552</v>
      </c>
      <c r="E389" s="30" t="n">
        <v>5</v>
      </c>
      <c r="F389" s="30"/>
      <c r="G389" s="30"/>
      <c r="H389" s="30" t="s">
        <v>557</v>
      </c>
      <c r="I389" s="30" t="s">
        <v>56</v>
      </c>
      <c r="J389" s="30"/>
      <c r="K389" s="30" t="s">
        <v>101</v>
      </c>
      <c r="L389" s="30"/>
      <c r="M389" s="30" t="n">
        <v>1973</v>
      </c>
      <c r="N389" s="30" t="s">
        <v>58</v>
      </c>
      <c r="O389" s="30" t="n">
        <v>5</v>
      </c>
      <c r="P389" s="30" t="n">
        <v>0</v>
      </c>
      <c r="Q389" s="30" t="n">
        <v>4</v>
      </c>
      <c r="R389" s="30" t="n">
        <v>80</v>
      </c>
      <c r="S389" s="30" t="n">
        <v>3412</v>
      </c>
      <c r="T389" s="30" t="n">
        <v>3412</v>
      </c>
      <c r="U389" s="30" t="n">
        <v>3412</v>
      </c>
      <c r="V389" s="30"/>
      <c r="W389" s="30" t="s">
        <v>53</v>
      </c>
      <c r="X389" s="30" t="s">
        <v>53</v>
      </c>
      <c r="Y389" s="30" t="s">
        <v>53</v>
      </c>
      <c r="Z389" s="30" t="s">
        <v>53</v>
      </c>
      <c r="AA389" s="30" t="s">
        <v>53</v>
      </c>
      <c r="AB389" s="30" t="s">
        <v>53</v>
      </c>
      <c r="AC389" s="30" t="s">
        <v>53</v>
      </c>
      <c r="AD389" s="30" t="s">
        <v>53</v>
      </c>
      <c r="AE389" s="30" t="s">
        <v>54</v>
      </c>
      <c r="AF389" s="30" t="n">
        <v>0</v>
      </c>
      <c r="AG389" s="30" t="n">
        <v>0</v>
      </c>
      <c r="AH389" s="30" t="n">
        <v>1</v>
      </c>
      <c r="AI389" s="30" t="n">
        <v>0</v>
      </c>
      <c r="AJ389" s="30" t="n">
        <v>1</v>
      </c>
      <c r="AK389" s="30" t="n">
        <v>0</v>
      </c>
      <c r="AL389" s="26"/>
    </row>
    <row collapsed="false" customFormat="false" customHeight="false" hidden="false" ht="14.5" outlineLevel="0" r="390">
      <c r="A390" s="30" t="n">
        <v>381</v>
      </c>
      <c r="B390" s="30" t="s">
        <v>45</v>
      </c>
      <c r="C390" s="30" t="s">
        <v>59</v>
      </c>
      <c r="D390" s="30" t="s">
        <v>552</v>
      </c>
      <c r="E390" s="30" t="n">
        <v>6</v>
      </c>
      <c r="F390" s="30"/>
      <c r="G390" s="30"/>
      <c r="H390" s="30" t="s">
        <v>558</v>
      </c>
      <c r="I390" s="30" t="s">
        <v>56</v>
      </c>
      <c r="J390" s="30"/>
      <c r="K390" s="30" t="s">
        <v>64</v>
      </c>
      <c r="L390" s="30"/>
      <c r="M390" s="30" t="n">
        <v>1961</v>
      </c>
      <c r="N390" s="30" t="s">
        <v>58</v>
      </c>
      <c r="O390" s="30" t="n">
        <v>3</v>
      </c>
      <c r="P390" s="30" t="n">
        <v>0</v>
      </c>
      <c r="Q390" s="30" t="n">
        <v>3</v>
      </c>
      <c r="R390" s="30" t="n">
        <v>36</v>
      </c>
      <c r="S390" s="30" t="n">
        <v>1508</v>
      </c>
      <c r="T390" s="30" t="n">
        <v>1508</v>
      </c>
      <c r="U390" s="30" t="n">
        <v>1508</v>
      </c>
      <c r="V390" s="30"/>
      <c r="W390" s="30" t="s">
        <v>53</v>
      </c>
      <c r="X390" s="30" t="s">
        <v>53</v>
      </c>
      <c r="Y390" s="30" t="s">
        <v>53</v>
      </c>
      <c r="Z390" s="30" t="s">
        <v>53</v>
      </c>
      <c r="AA390" s="30" t="s">
        <v>53</v>
      </c>
      <c r="AB390" s="30" t="s">
        <v>53</v>
      </c>
      <c r="AC390" s="30" t="s">
        <v>53</v>
      </c>
      <c r="AD390" s="30" t="s">
        <v>53</v>
      </c>
      <c r="AE390" s="30" t="s">
        <v>54</v>
      </c>
      <c r="AF390" s="30" t="n">
        <v>0</v>
      </c>
      <c r="AG390" s="30" t="n">
        <v>0</v>
      </c>
      <c r="AH390" s="30" t="n">
        <v>1</v>
      </c>
      <c r="AI390" s="30" t="n">
        <v>0</v>
      </c>
      <c r="AJ390" s="30" t="n">
        <v>1</v>
      </c>
      <c r="AK390" s="30" t="n">
        <v>0</v>
      </c>
      <c r="AL390" s="26"/>
    </row>
    <row collapsed="false" customFormat="false" customHeight="false" hidden="false" ht="14.5" outlineLevel="0" r="391">
      <c r="A391" s="30" t="n">
        <v>382</v>
      </c>
      <c r="B391" s="30" t="s">
        <v>45</v>
      </c>
      <c r="C391" s="30" t="s">
        <v>59</v>
      </c>
      <c r="D391" s="30" t="s">
        <v>552</v>
      </c>
      <c r="E391" s="30" t="n">
        <v>7</v>
      </c>
      <c r="F391" s="30"/>
      <c r="G391" s="30"/>
      <c r="H391" s="30" t="s">
        <v>559</v>
      </c>
      <c r="I391" s="30" t="s">
        <v>56</v>
      </c>
      <c r="J391" s="30"/>
      <c r="K391" s="30" t="s">
        <v>64</v>
      </c>
      <c r="L391" s="30"/>
      <c r="M391" s="30" t="n">
        <v>1973</v>
      </c>
      <c r="N391" s="30" t="s">
        <v>58</v>
      </c>
      <c r="O391" s="30" t="n">
        <v>5</v>
      </c>
      <c r="P391" s="30" t="n">
        <v>0</v>
      </c>
      <c r="Q391" s="30" t="n">
        <v>4</v>
      </c>
      <c r="R391" s="30" t="n">
        <v>80</v>
      </c>
      <c r="S391" s="30" t="n">
        <v>3446</v>
      </c>
      <c r="T391" s="30" t="n">
        <v>3446</v>
      </c>
      <c r="U391" s="30" t="n">
        <v>3446</v>
      </c>
      <c r="V391" s="30"/>
      <c r="W391" s="30" t="s">
        <v>53</v>
      </c>
      <c r="X391" s="30" t="s">
        <v>53</v>
      </c>
      <c r="Y391" s="30" t="s">
        <v>53</v>
      </c>
      <c r="Z391" s="30" t="s">
        <v>53</v>
      </c>
      <c r="AA391" s="30" t="s">
        <v>53</v>
      </c>
      <c r="AB391" s="30" t="s">
        <v>53</v>
      </c>
      <c r="AC391" s="30" t="s">
        <v>53</v>
      </c>
      <c r="AD391" s="30" t="s">
        <v>53</v>
      </c>
      <c r="AE391" s="30" t="s">
        <v>54</v>
      </c>
      <c r="AF391" s="30" t="n">
        <v>0</v>
      </c>
      <c r="AG391" s="30" t="n">
        <v>0</v>
      </c>
      <c r="AH391" s="30" t="n">
        <v>1</v>
      </c>
      <c r="AI391" s="30" t="n">
        <v>0</v>
      </c>
      <c r="AJ391" s="30" t="n">
        <v>1</v>
      </c>
      <c r="AK391" s="30" t="n">
        <v>0</v>
      </c>
      <c r="AL391" s="26"/>
    </row>
    <row collapsed="false" customFormat="false" customHeight="false" hidden="false" ht="14.5" outlineLevel="0" r="392">
      <c r="A392" s="30" t="n">
        <v>383</v>
      </c>
      <c r="B392" s="30" t="s">
        <v>45</v>
      </c>
      <c r="C392" s="30" t="s">
        <v>59</v>
      </c>
      <c r="D392" s="30" t="s">
        <v>552</v>
      </c>
      <c r="E392" s="30" t="n">
        <v>8</v>
      </c>
      <c r="F392" s="30"/>
      <c r="G392" s="30"/>
      <c r="H392" s="30" t="s">
        <v>560</v>
      </c>
      <c r="I392" s="30" t="s">
        <v>56</v>
      </c>
      <c r="J392" s="30"/>
      <c r="K392" s="30" t="s">
        <v>64</v>
      </c>
      <c r="L392" s="30"/>
      <c r="M392" s="30" t="n">
        <v>1961</v>
      </c>
      <c r="N392" s="30" t="s">
        <v>58</v>
      </c>
      <c r="O392" s="30" t="n">
        <v>3</v>
      </c>
      <c r="P392" s="30" t="n">
        <v>0</v>
      </c>
      <c r="Q392" s="30" t="n">
        <v>2</v>
      </c>
      <c r="R392" s="30" t="n">
        <v>24</v>
      </c>
      <c r="S392" s="30" t="n">
        <v>933</v>
      </c>
      <c r="T392" s="30" t="n">
        <v>933</v>
      </c>
      <c r="U392" s="30" t="n">
        <v>933</v>
      </c>
      <c r="V392" s="30"/>
      <c r="W392" s="30" t="s">
        <v>53</v>
      </c>
      <c r="X392" s="30" t="s">
        <v>53</v>
      </c>
      <c r="Y392" s="30" t="s">
        <v>53</v>
      </c>
      <c r="Z392" s="30" t="s">
        <v>53</v>
      </c>
      <c r="AA392" s="30" t="s">
        <v>53</v>
      </c>
      <c r="AB392" s="30" t="s">
        <v>53</v>
      </c>
      <c r="AC392" s="30" t="s">
        <v>53</v>
      </c>
      <c r="AD392" s="30" t="s">
        <v>53</v>
      </c>
      <c r="AE392" s="30" t="s">
        <v>54</v>
      </c>
      <c r="AF392" s="30" t="n">
        <v>0</v>
      </c>
      <c r="AG392" s="30" t="n">
        <v>0</v>
      </c>
      <c r="AH392" s="30" t="n">
        <v>2</v>
      </c>
      <c r="AI392" s="30" t="n">
        <v>0</v>
      </c>
      <c r="AJ392" s="30" t="n">
        <v>1</v>
      </c>
      <c r="AK392" s="30" t="n">
        <v>0</v>
      </c>
      <c r="AL392" s="26"/>
    </row>
    <row collapsed="false" customFormat="false" customHeight="false" hidden="false" ht="14.5" outlineLevel="0" r="393">
      <c r="A393" s="30" t="n">
        <v>384</v>
      </c>
      <c r="B393" s="30" t="s">
        <v>45</v>
      </c>
      <c r="C393" s="30" t="s">
        <v>59</v>
      </c>
      <c r="D393" s="30" t="s">
        <v>552</v>
      </c>
      <c r="E393" s="30" t="n">
        <v>10</v>
      </c>
      <c r="F393" s="30"/>
      <c r="G393" s="30"/>
      <c r="H393" s="30" t="s">
        <v>561</v>
      </c>
      <c r="I393" s="30" t="s">
        <v>56</v>
      </c>
      <c r="J393" s="30"/>
      <c r="K393" s="30" t="s">
        <v>101</v>
      </c>
      <c r="L393" s="30"/>
      <c r="M393" s="30" t="n">
        <v>1971</v>
      </c>
      <c r="N393" s="30" t="s">
        <v>58</v>
      </c>
      <c r="O393" s="30" t="n">
        <v>3</v>
      </c>
      <c r="P393" s="30" t="n">
        <v>0</v>
      </c>
      <c r="Q393" s="30" t="n">
        <v>3</v>
      </c>
      <c r="R393" s="30" t="n">
        <v>36</v>
      </c>
      <c r="S393" s="30" t="n">
        <v>1511</v>
      </c>
      <c r="T393" s="30" t="n">
        <v>1511</v>
      </c>
      <c r="U393" s="30" t="n">
        <v>1511</v>
      </c>
      <c r="V393" s="30"/>
      <c r="W393" s="30" t="s">
        <v>53</v>
      </c>
      <c r="X393" s="30" t="s">
        <v>53</v>
      </c>
      <c r="Y393" s="30" t="s">
        <v>53</v>
      </c>
      <c r="Z393" s="30" t="s">
        <v>53</v>
      </c>
      <c r="AA393" s="30" t="s">
        <v>53</v>
      </c>
      <c r="AB393" s="30" t="s">
        <v>53</v>
      </c>
      <c r="AC393" s="30" t="s">
        <v>53</v>
      </c>
      <c r="AD393" s="30" t="s">
        <v>53</v>
      </c>
      <c r="AE393" s="30" t="s">
        <v>54</v>
      </c>
      <c r="AF393" s="30" t="n">
        <v>0</v>
      </c>
      <c r="AG393" s="30" t="n">
        <v>0</v>
      </c>
      <c r="AH393" s="30" t="n">
        <v>2</v>
      </c>
      <c r="AI393" s="30" t="n">
        <v>0</v>
      </c>
      <c r="AJ393" s="30" t="n">
        <v>1</v>
      </c>
      <c r="AK393" s="30" t="n">
        <v>0</v>
      </c>
      <c r="AL393" s="26"/>
    </row>
    <row collapsed="false" customFormat="false" customHeight="false" hidden="false" ht="14.5" outlineLevel="0" r="394">
      <c r="A394" s="30" t="n">
        <v>385</v>
      </c>
      <c r="B394" s="30" t="s">
        <v>45</v>
      </c>
      <c r="C394" s="30" t="s">
        <v>59</v>
      </c>
      <c r="D394" s="30" t="s">
        <v>552</v>
      </c>
      <c r="E394" s="30" t="n">
        <v>11</v>
      </c>
      <c r="F394" s="30"/>
      <c r="G394" s="30"/>
      <c r="H394" s="30" t="s">
        <v>562</v>
      </c>
      <c r="I394" s="30" t="s">
        <v>56</v>
      </c>
      <c r="J394" s="30"/>
      <c r="K394" s="30" t="s">
        <v>101</v>
      </c>
      <c r="L394" s="30"/>
      <c r="M394" s="30" t="n">
        <v>1973</v>
      </c>
      <c r="N394" s="30" t="s">
        <v>58</v>
      </c>
      <c r="O394" s="30" t="n">
        <v>5</v>
      </c>
      <c r="P394" s="30" t="n">
        <v>0</v>
      </c>
      <c r="Q394" s="30" t="n">
        <v>5</v>
      </c>
      <c r="R394" s="30" t="n">
        <v>100</v>
      </c>
      <c r="S394" s="30" t="n">
        <v>4195</v>
      </c>
      <c r="T394" s="30" t="n">
        <v>4195</v>
      </c>
      <c r="U394" s="30" t="n">
        <v>4195</v>
      </c>
      <c r="V394" s="30"/>
      <c r="W394" s="30" t="s">
        <v>53</v>
      </c>
      <c r="X394" s="30" t="s">
        <v>53</v>
      </c>
      <c r="Y394" s="30" t="s">
        <v>53</v>
      </c>
      <c r="Z394" s="30" t="s">
        <v>53</v>
      </c>
      <c r="AA394" s="30" t="s">
        <v>53</v>
      </c>
      <c r="AB394" s="30" t="s">
        <v>53</v>
      </c>
      <c r="AC394" s="30" t="s">
        <v>53</v>
      </c>
      <c r="AD394" s="30" t="s">
        <v>53</v>
      </c>
      <c r="AE394" s="30" t="s">
        <v>54</v>
      </c>
      <c r="AF394" s="30" t="n">
        <v>0</v>
      </c>
      <c r="AG394" s="30" t="n">
        <v>0</v>
      </c>
      <c r="AH394" s="30" t="n">
        <v>1</v>
      </c>
      <c r="AI394" s="30" t="n">
        <v>0</v>
      </c>
      <c r="AJ394" s="30" t="n">
        <v>1</v>
      </c>
      <c r="AK394" s="30" t="n">
        <v>0</v>
      </c>
      <c r="AL394" s="26"/>
    </row>
    <row collapsed="false" customFormat="false" customHeight="false" hidden="false" ht="14.5" outlineLevel="0" r="395">
      <c r="A395" s="30" t="n">
        <v>386</v>
      </c>
      <c r="B395" s="30" t="s">
        <v>45</v>
      </c>
      <c r="C395" s="30" t="s">
        <v>59</v>
      </c>
      <c r="D395" s="30" t="s">
        <v>552</v>
      </c>
      <c r="E395" s="30" t="n">
        <v>12</v>
      </c>
      <c r="F395" s="30"/>
      <c r="G395" s="30"/>
      <c r="H395" s="30" t="s">
        <v>563</v>
      </c>
      <c r="I395" s="30" t="s">
        <v>56</v>
      </c>
      <c r="J395" s="30"/>
      <c r="K395" s="30" t="s">
        <v>64</v>
      </c>
      <c r="L395" s="30"/>
      <c r="M395" s="30" t="n">
        <v>1962</v>
      </c>
      <c r="N395" s="30" t="s">
        <v>58</v>
      </c>
      <c r="O395" s="30" t="n">
        <v>4</v>
      </c>
      <c r="P395" s="30" t="n">
        <v>0</v>
      </c>
      <c r="Q395" s="30" t="n">
        <v>3</v>
      </c>
      <c r="R395" s="30" t="n">
        <v>48</v>
      </c>
      <c r="S395" s="30" t="n">
        <v>1983</v>
      </c>
      <c r="T395" s="30" t="n">
        <v>1983</v>
      </c>
      <c r="U395" s="30" t="n">
        <v>1983</v>
      </c>
      <c r="V395" s="30"/>
      <c r="W395" s="30" t="s">
        <v>53</v>
      </c>
      <c r="X395" s="30" t="s">
        <v>53</v>
      </c>
      <c r="Y395" s="30" t="s">
        <v>53</v>
      </c>
      <c r="Z395" s="30" t="s">
        <v>53</v>
      </c>
      <c r="AA395" s="30" t="s">
        <v>53</v>
      </c>
      <c r="AB395" s="30" t="s">
        <v>53</v>
      </c>
      <c r="AC395" s="30" t="s">
        <v>53</v>
      </c>
      <c r="AD395" s="30" t="s">
        <v>53</v>
      </c>
      <c r="AE395" s="30" t="s">
        <v>54</v>
      </c>
      <c r="AF395" s="30" t="n">
        <v>0</v>
      </c>
      <c r="AG395" s="30" t="n">
        <v>0</v>
      </c>
      <c r="AH395" s="30" t="n">
        <v>1</v>
      </c>
      <c r="AI395" s="30" t="n">
        <v>0</v>
      </c>
      <c r="AJ395" s="30" t="n">
        <v>1</v>
      </c>
      <c r="AK395" s="30" t="n">
        <v>0</v>
      </c>
      <c r="AL395" s="26"/>
    </row>
    <row collapsed="false" customFormat="false" customHeight="false" hidden="false" ht="14.5" outlineLevel="0" r="396">
      <c r="A396" s="30" t="n">
        <v>387</v>
      </c>
      <c r="B396" s="30" t="s">
        <v>45</v>
      </c>
      <c r="C396" s="30" t="s">
        <v>59</v>
      </c>
      <c r="D396" s="30" t="s">
        <v>552</v>
      </c>
      <c r="E396" s="30" t="n">
        <v>14</v>
      </c>
      <c r="F396" s="30"/>
      <c r="G396" s="30"/>
      <c r="H396" s="30" t="s">
        <v>564</v>
      </c>
      <c r="I396" s="30" t="s">
        <v>56</v>
      </c>
      <c r="J396" s="30"/>
      <c r="K396" s="30" t="s">
        <v>101</v>
      </c>
      <c r="L396" s="30"/>
      <c r="M396" s="30" t="n">
        <v>1971</v>
      </c>
      <c r="N396" s="30" t="s">
        <v>58</v>
      </c>
      <c r="O396" s="30" t="n">
        <v>3</v>
      </c>
      <c r="P396" s="30" t="n">
        <v>0</v>
      </c>
      <c r="Q396" s="30" t="n">
        <v>3</v>
      </c>
      <c r="R396" s="30" t="n">
        <v>36</v>
      </c>
      <c r="S396" s="30" t="n">
        <v>1509</v>
      </c>
      <c r="T396" s="30" t="n">
        <v>1509</v>
      </c>
      <c r="U396" s="30" t="n">
        <v>1509</v>
      </c>
      <c r="V396" s="30"/>
      <c r="W396" s="30" t="s">
        <v>53</v>
      </c>
      <c r="X396" s="30" t="s">
        <v>53</v>
      </c>
      <c r="Y396" s="30" t="s">
        <v>53</v>
      </c>
      <c r="Z396" s="30" t="s">
        <v>53</v>
      </c>
      <c r="AA396" s="30" t="s">
        <v>53</v>
      </c>
      <c r="AB396" s="30" t="s">
        <v>53</v>
      </c>
      <c r="AC396" s="30" t="s">
        <v>53</v>
      </c>
      <c r="AD396" s="30" t="s">
        <v>53</v>
      </c>
      <c r="AE396" s="30" t="s">
        <v>54</v>
      </c>
      <c r="AF396" s="30" t="n">
        <v>0</v>
      </c>
      <c r="AG396" s="30" t="n">
        <v>0</v>
      </c>
      <c r="AH396" s="30" t="n">
        <v>2</v>
      </c>
      <c r="AI396" s="30" t="n">
        <v>0</v>
      </c>
      <c r="AJ396" s="30" t="n">
        <v>1</v>
      </c>
      <c r="AK396" s="30" t="n">
        <v>0</v>
      </c>
      <c r="AL396" s="26"/>
    </row>
    <row collapsed="false" customFormat="false" customHeight="false" hidden="false" ht="14.5" outlineLevel="0" r="397">
      <c r="A397" s="30" t="n">
        <v>388</v>
      </c>
      <c r="B397" s="30" t="s">
        <v>45</v>
      </c>
      <c r="C397" s="30" t="s">
        <v>59</v>
      </c>
      <c r="D397" s="30" t="s">
        <v>552</v>
      </c>
      <c r="E397" s="30" t="n">
        <v>16</v>
      </c>
      <c r="F397" s="30"/>
      <c r="G397" s="30"/>
      <c r="H397" s="30" t="s">
        <v>565</v>
      </c>
      <c r="I397" s="30" t="s">
        <v>56</v>
      </c>
      <c r="J397" s="30"/>
      <c r="K397" s="30" t="s">
        <v>64</v>
      </c>
      <c r="L397" s="30"/>
      <c r="M397" s="30" t="n">
        <v>1963</v>
      </c>
      <c r="N397" s="30" t="s">
        <v>58</v>
      </c>
      <c r="O397" s="30" t="n">
        <v>3</v>
      </c>
      <c r="P397" s="30" t="n">
        <v>0</v>
      </c>
      <c r="Q397" s="30" t="n">
        <v>2</v>
      </c>
      <c r="R397" s="30" t="n">
        <v>24</v>
      </c>
      <c r="S397" s="30" t="n">
        <v>964</v>
      </c>
      <c r="T397" s="30" t="n">
        <v>964</v>
      </c>
      <c r="U397" s="30" t="n">
        <v>964</v>
      </c>
      <c r="V397" s="30"/>
      <c r="W397" s="30" t="s">
        <v>53</v>
      </c>
      <c r="X397" s="30" t="s">
        <v>53</v>
      </c>
      <c r="Y397" s="30" t="s">
        <v>53</v>
      </c>
      <c r="Z397" s="30" t="s">
        <v>53</v>
      </c>
      <c r="AA397" s="30" t="s">
        <v>53</v>
      </c>
      <c r="AB397" s="30" t="s">
        <v>53</v>
      </c>
      <c r="AC397" s="30" t="s">
        <v>53</v>
      </c>
      <c r="AD397" s="30" t="s">
        <v>53</v>
      </c>
      <c r="AE397" s="30" t="s">
        <v>54</v>
      </c>
      <c r="AF397" s="30" t="n">
        <v>0</v>
      </c>
      <c r="AG397" s="30" t="n">
        <v>0</v>
      </c>
      <c r="AH397" s="30" t="n">
        <v>1</v>
      </c>
      <c r="AI397" s="30" t="n">
        <v>0</v>
      </c>
      <c r="AJ397" s="30" t="n">
        <v>1</v>
      </c>
      <c r="AK397" s="30" t="n">
        <v>0</v>
      </c>
      <c r="AL397" s="26"/>
    </row>
    <row collapsed="false" customFormat="false" customHeight="false" hidden="false" ht="14.5" outlineLevel="0" r="398">
      <c r="A398" s="30" t="n">
        <v>389</v>
      </c>
      <c r="B398" s="30" t="s">
        <v>45</v>
      </c>
      <c r="C398" s="30" t="s">
        <v>59</v>
      </c>
      <c r="D398" s="30" t="s">
        <v>552</v>
      </c>
      <c r="E398" s="30" t="n">
        <v>18</v>
      </c>
      <c r="F398" s="30"/>
      <c r="G398" s="30"/>
      <c r="H398" s="30" t="s">
        <v>566</v>
      </c>
      <c r="I398" s="30" t="s">
        <v>56</v>
      </c>
      <c r="J398" s="30"/>
      <c r="K398" s="30" t="s">
        <v>64</v>
      </c>
      <c r="L398" s="30"/>
      <c r="M398" s="30" t="n">
        <v>1962</v>
      </c>
      <c r="N398" s="30" t="s">
        <v>58</v>
      </c>
      <c r="O398" s="30" t="n">
        <v>3</v>
      </c>
      <c r="P398" s="30" t="n">
        <v>0</v>
      </c>
      <c r="Q398" s="30" t="n">
        <v>3</v>
      </c>
      <c r="R398" s="30" t="n">
        <v>36</v>
      </c>
      <c r="S398" s="30" t="n">
        <v>1495</v>
      </c>
      <c r="T398" s="30" t="n">
        <v>1495</v>
      </c>
      <c r="U398" s="30" t="n">
        <v>1495</v>
      </c>
      <c r="V398" s="30"/>
      <c r="W398" s="30" t="s">
        <v>53</v>
      </c>
      <c r="X398" s="30" t="s">
        <v>53</v>
      </c>
      <c r="Y398" s="30" t="s">
        <v>53</v>
      </c>
      <c r="Z398" s="30" t="s">
        <v>53</v>
      </c>
      <c r="AA398" s="30" t="s">
        <v>53</v>
      </c>
      <c r="AB398" s="30" t="s">
        <v>53</v>
      </c>
      <c r="AC398" s="30" t="s">
        <v>53</v>
      </c>
      <c r="AD398" s="30" t="s">
        <v>53</v>
      </c>
      <c r="AE398" s="30" t="s">
        <v>54</v>
      </c>
      <c r="AF398" s="30" t="n">
        <v>0</v>
      </c>
      <c r="AG398" s="30" t="n">
        <v>0</v>
      </c>
      <c r="AH398" s="30" t="n">
        <v>2</v>
      </c>
      <c r="AI398" s="30" t="n">
        <v>0</v>
      </c>
      <c r="AJ398" s="30" t="n">
        <v>1</v>
      </c>
      <c r="AK398" s="30" t="n">
        <v>0</v>
      </c>
      <c r="AL398" s="26"/>
    </row>
    <row collapsed="false" customFormat="false" customHeight="false" hidden="false" ht="14.5" outlineLevel="0" r="399">
      <c r="A399" s="30" t="n">
        <v>390</v>
      </c>
      <c r="B399" s="30" t="s">
        <v>45</v>
      </c>
      <c r="C399" s="30" t="s">
        <v>59</v>
      </c>
      <c r="D399" s="30" t="s">
        <v>552</v>
      </c>
      <c r="E399" s="30" t="n">
        <v>20</v>
      </c>
      <c r="F399" s="30"/>
      <c r="G399" s="30"/>
      <c r="H399" s="30" t="s">
        <v>567</v>
      </c>
      <c r="I399" s="30" t="s">
        <v>56</v>
      </c>
      <c r="J399" s="30"/>
      <c r="K399" s="30" t="s">
        <v>64</v>
      </c>
      <c r="L399" s="30"/>
      <c r="M399" s="30" t="n">
        <v>1961</v>
      </c>
      <c r="N399" s="30" t="s">
        <v>58</v>
      </c>
      <c r="O399" s="30" t="n">
        <v>3</v>
      </c>
      <c r="P399" s="30" t="n">
        <v>0</v>
      </c>
      <c r="Q399" s="30" t="n">
        <v>3</v>
      </c>
      <c r="R399" s="30" t="n">
        <v>36</v>
      </c>
      <c r="S399" s="30" t="n">
        <v>1500</v>
      </c>
      <c r="T399" s="30" t="n">
        <v>1500</v>
      </c>
      <c r="U399" s="30" t="n">
        <v>1500</v>
      </c>
      <c r="V399" s="30"/>
      <c r="W399" s="30" t="s">
        <v>53</v>
      </c>
      <c r="X399" s="30" t="s">
        <v>53</v>
      </c>
      <c r="Y399" s="30" t="s">
        <v>53</v>
      </c>
      <c r="Z399" s="30" t="s">
        <v>53</v>
      </c>
      <c r="AA399" s="30" t="s">
        <v>53</v>
      </c>
      <c r="AB399" s="30" t="s">
        <v>53</v>
      </c>
      <c r="AC399" s="30" t="s">
        <v>53</v>
      </c>
      <c r="AD399" s="30" t="s">
        <v>53</v>
      </c>
      <c r="AE399" s="30" t="s">
        <v>54</v>
      </c>
      <c r="AF399" s="30" t="n">
        <v>0</v>
      </c>
      <c r="AG399" s="30" t="n">
        <v>0</v>
      </c>
      <c r="AH399" s="30" t="n">
        <v>0</v>
      </c>
      <c r="AI399" s="30" t="n">
        <v>0</v>
      </c>
      <c r="AJ399" s="30" t="n">
        <v>1</v>
      </c>
      <c r="AK399" s="30" t="n">
        <v>0</v>
      </c>
      <c r="AL399" s="26"/>
    </row>
    <row collapsed="false" customFormat="false" customHeight="false" hidden="false" ht="14.5" outlineLevel="0" r="400">
      <c r="A400" s="30" t="n">
        <v>391</v>
      </c>
      <c r="B400" s="30" t="s">
        <v>45</v>
      </c>
      <c r="C400" s="30" t="s">
        <v>59</v>
      </c>
      <c r="D400" s="30" t="s">
        <v>552</v>
      </c>
      <c r="E400" s="30" t="n">
        <v>22</v>
      </c>
      <c r="F400" s="30"/>
      <c r="G400" s="30"/>
      <c r="H400" s="30" t="s">
        <v>568</v>
      </c>
      <c r="I400" s="30" t="s">
        <v>56</v>
      </c>
      <c r="J400" s="30"/>
      <c r="K400" s="30" t="s">
        <v>64</v>
      </c>
      <c r="L400" s="30"/>
      <c r="M400" s="30" t="n">
        <v>1961</v>
      </c>
      <c r="N400" s="30" t="s">
        <v>58</v>
      </c>
      <c r="O400" s="30" t="n">
        <v>3</v>
      </c>
      <c r="P400" s="30" t="n">
        <v>0</v>
      </c>
      <c r="Q400" s="30" t="n">
        <v>2</v>
      </c>
      <c r="R400" s="30" t="n">
        <v>24</v>
      </c>
      <c r="S400" s="30" t="n">
        <v>953</v>
      </c>
      <c r="T400" s="30" t="n">
        <v>953</v>
      </c>
      <c r="U400" s="30" t="n">
        <v>953</v>
      </c>
      <c r="V400" s="30"/>
      <c r="W400" s="30" t="s">
        <v>53</v>
      </c>
      <c r="X400" s="30" t="s">
        <v>53</v>
      </c>
      <c r="Y400" s="30" t="s">
        <v>53</v>
      </c>
      <c r="Z400" s="30" t="s">
        <v>53</v>
      </c>
      <c r="AA400" s="30" t="s">
        <v>53</v>
      </c>
      <c r="AB400" s="30" t="s">
        <v>53</v>
      </c>
      <c r="AC400" s="30" t="s">
        <v>53</v>
      </c>
      <c r="AD400" s="30" t="s">
        <v>53</v>
      </c>
      <c r="AE400" s="30" t="s">
        <v>54</v>
      </c>
      <c r="AF400" s="30" t="n">
        <v>0</v>
      </c>
      <c r="AG400" s="30" t="n">
        <v>0</v>
      </c>
      <c r="AH400" s="30" t="n">
        <v>1</v>
      </c>
      <c r="AI400" s="30" t="n">
        <v>0</v>
      </c>
      <c r="AJ400" s="30" t="n">
        <v>1</v>
      </c>
      <c r="AK400" s="30" t="n">
        <v>0</v>
      </c>
      <c r="AL400" s="26"/>
    </row>
    <row collapsed="false" customFormat="false" customHeight="false" hidden="false" ht="14.5" outlineLevel="0" r="401">
      <c r="A401" s="30" t="n">
        <v>392</v>
      </c>
      <c r="B401" s="30" t="s">
        <v>45</v>
      </c>
      <c r="C401" s="30" t="s">
        <v>59</v>
      </c>
      <c r="D401" s="30" t="s">
        <v>569</v>
      </c>
      <c r="E401" s="30" t="n">
        <v>2</v>
      </c>
      <c r="F401" s="30" t="n">
        <v>1</v>
      </c>
      <c r="G401" s="30"/>
      <c r="H401" s="30" t="s">
        <v>570</v>
      </c>
      <c r="I401" s="30" t="s">
        <v>56</v>
      </c>
      <c r="J401" s="30"/>
      <c r="K401" s="30" t="s">
        <v>64</v>
      </c>
      <c r="L401" s="30" t="s">
        <v>65</v>
      </c>
      <c r="M401" s="30" t="n">
        <v>1963</v>
      </c>
      <c r="N401" s="30" t="s">
        <v>58</v>
      </c>
      <c r="O401" s="30" t="n">
        <v>5</v>
      </c>
      <c r="P401" s="30" t="n">
        <v>0</v>
      </c>
      <c r="Q401" s="30" t="n">
        <v>4</v>
      </c>
      <c r="R401" s="30" t="n">
        <v>80</v>
      </c>
      <c r="S401" s="30" t="n">
        <v>3477</v>
      </c>
      <c r="T401" s="30" t="n">
        <v>3477</v>
      </c>
      <c r="U401" s="30" t="n">
        <v>3477</v>
      </c>
      <c r="V401" s="30"/>
      <c r="W401" s="30" t="s">
        <v>53</v>
      </c>
      <c r="X401" s="30" t="s">
        <v>53</v>
      </c>
      <c r="Y401" s="30" t="s">
        <v>53</v>
      </c>
      <c r="Z401" s="30" t="s">
        <v>53</v>
      </c>
      <c r="AA401" s="30" t="s">
        <v>53</v>
      </c>
      <c r="AB401" s="30" t="s">
        <v>53</v>
      </c>
      <c r="AC401" s="30" t="s">
        <v>53</v>
      </c>
      <c r="AD401" s="30" t="s">
        <v>53</v>
      </c>
      <c r="AE401" s="30" t="s">
        <v>54</v>
      </c>
      <c r="AF401" s="30" t="n">
        <v>0</v>
      </c>
      <c r="AG401" s="30" t="n">
        <v>0</v>
      </c>
      <c r="AH401" s="30" t="n">
        <v>1</v>
      </c>
      <c r="AI401" s="30" t="n">
        <v>0</v>
      </c>
      <c r="AJ401" s="30" t="n">
        <v>1</v>
      </c>
      <c r="AK401" s="30" t="n">
        <v>0</v>
      </c>
      <c r="AL401" s="26"/>
    </row>
    <row collapsed="false" customFormat="false" customHeight="false" hidden="false" ht="14.5" outlineLevel="0" r="402">
      <c r="A402" s="30" t="n">
        <v>393</v>
      </c>
      <c r="B402" s="30" t="s">
        <v>45</v>
      </c>
      <c r="C402" s="30" t="s">
        <v>59</v>
      </c>
      <c r="D402" s="30" t="s">
        <v>569</v>
      </c>
      <c r="E402" s="30" t="n">
        <v>2</v>
      </c>
      <c r="F402" s="30" t="n">
        <v>2</v>
      </c>
      <c r="G402" s="30"/>
      <c r="H402" s="30" t="s">
        <v>571</v>
      </c>
      <c r="I402" s="30" t="s">
        <v>56</v>
      </c>
      <c r="J402" s="30"/>
      <c r="K402" s="30" t="s">
        <v>64</v>
      </c>
      <c r="L402" s="30" t="s">
        <v>65</v>
      </c>
      <c r="M402" s="30" t="n">
        <v>1963</v>
      </c>
      <c r="N402" s="30" t="s">
        <v>58</v>
      </c>
      <c r="O402" s="30" t="n">
        <v>5</v>
      </c>
      <c r="P402" s="30" t="n">
        <v>0</v>
      </c>
      <c r="Q402" s="30" t="n">
        <v>5</v>
      </c>
      <c r="R402" s="30" t="n">
        <v>100</v>
      </c>
      <c r="S402" s="30" t="n">
        <v>4171</v>
      </c>
      <c r="T402" s="30" t="n">
        <v>4171</v>
      </c>
      <c r="U402" s="30" t="n">
        <v>4171</v>
      </c>
      <c r="V402" s="30"/>
      <c r="W402" s="30" t="s">
        <v>53</v>
      </c>
      <c r="X402" s="30" t="s">
        <v>53</v>
      </c>
      <c r="Y402" s="30" t="s">
        <v>53</v>
      </c>
      <c r="Z402" s="30" t="s">
        <v>53</v>
      </c>
      <c r="AA402" s="30" t="s">
        <v>53</v>
      </c>
      <c r="AB402" s="30" t="s">
        <v>53</v>
      </c>
      <c r="AC402" s="30" t="s">
        <v>53</v>
      </c>
      <c r="AD402" s="30" t="s">
        <v>53</v>
      </c>
      <c r="AE402" s="30" t="s">
        <v>54</v>
      </c>
      <c r="AF402" s="30" t="n">
        <v>0</v>
      </c>
      <c r="AG402" s="30" t="n">
        <v>0</v>
      </c>
      <c r="AH402" s="30" t="n">
        <v>1</v>
      </c>
      <c r="AI402" s="30" t="n">
        <v>0</v>
      </c>
      <c r="AJ402" s="30" t="n">
        <v>1</v>
      </c>
      <c r="AK402" s="30" t="n">
        <v>0</v>
      </c>
      <c r="AL402" s="26"/>
    </row>
    <row collapsed="false" customFormat="false" customHeight="false" hidden="false" ht="14.5" outlineLevel="0" r="403">
      <c r="A403" s="30" t="n">
        <v>394</v>
      </c>
      <c r="B403" s="30" t="s">
        <v>45</v>
      </c>
      <c r="C403" s="30" t="s">
        <v>59</v>
      </c>
      <c r="D403" s="30" t="s">
        <v>569</v>
      </c>
      <c r="E403" s="30" t="n">
        <v>6</v>
      </c>
      <c r="F403" s="30" t="n">
        <v>1</v>
      </c>
      <c r="G403" s="30"/>
      <c r="H403" s="30" t="s">
        <v>572</v>
      </c>
      <c r="I403" s="30" t="s">
        <v>56</v>
      </c>
      <c r="J403" s="30"/>
      <c r="K403" s="30" t="s">
        <v>64</v>
      </c>
      <c r="L403" s="30" t="s">
        <v>65</v>
      </c>
      <c r="M403" s="30" t="n">
        <v>1963</v>
      </c>
      <c r="N403" s="30" t="s">
        <v>58</v>
      </c>
      <c r="O403" s="30" t="n">
        <v>5</v>
      </c>
      <c r="P403" s="30" t="n">
        <v>0</v>
      </c>
      <c r="Q403" s="30" t="n">
        <v>4</v>
      </c>
      <c r="R403" s="30" t="n">
        <v>80</v>
      </c>
      <c r="S403" s="30" t="n">
        <v>3463</v>
      </c>
      <c r="T403" s="30" t="n">
        <v>3463</v>
      </c>
      <c r="U403" s="30" t="n">
        <v>3463</v>
      </c>
      <c r="V403" s="30"/>
      <c r="W403" s="30" t="s">
        <v>53</v>
      </c>
      <c r="X403" s="30" t="s">
        <v>53</v>
      </c>
      <c r="Y403" s="30" t="s">
        <v>53</v>
      </c>
      <c r="Z403" s="30" t="s">
        <v>53</v>
      </c>
      <c r="AA403" s="30" t="s">
        <v>53</v>
      </c>
      <c r="AB403" s="30" t="s">
        <v>53</v>
      </c>
      <c r="AC403" s="30" t="s">
        <v>53</v>
      </c>
      <c r="AD403" s="30" t="s">
        <v>53</v>
      </c>
      <c r="AE403" s="30" t="s">
        <v>54</v>
      </c>
      <c r="AF403" s="30" t="n">
        <v>0</v>
      </c>
      <c r="AG403" s="30" t="n">
        <v>0</v>
      </c>
      <c r="AH403" s="30" t="n">
        <v>1</v>
      </c>
      <c r="AI403" s="30" t="n">
        <v>0</v>
      </c>
      <c r="AJ403" s="30" t="n">
        <v>1</v>
      </c>
      <c r="AK403" s="30" t="n">
        <v>0</v>
      </c>
      <c r="AL403" s="26"/>
    </row>
    <row collapsed="false" customFormat="false" customHeight="false" hidden="false" ht="14.5" outlineLevel="0" r="404">
      <c r="A404" s="30" t="n">
        <v>395</v>
      </c>
      <c r="B404" s="30" t="s">
        <v>45</v>
      </c>
      <c r="C404" s="30" t="s">
        <v>59</v>
      </c>
      <c r="D404" s="30" t="s">
        <v>569</v>
      </c>
      <c r="E404" s="30" t="n">
        <v>6</v>
      </c>
      <c r="F404" s="30" t="n">
        <v>2</v>
      </c>
      <c r="G404" s="30"/>
      <c r="H404" s="30" t="s">
        <v>573</v>
      </c>
      <c r="I404" s="30" t="s">
        <v>56</v>
      </c>
      <c r="J404" s="30"/>
      <c r="K404" s="30" t="s">
        <v>64</v>
      </c>
      <c r="L404" s="30" t="s">
        <v>65</v>
      </c>
      <c r="M404" s="30" t="n">
        <v>1963</v>
      </c>
      <c r="N404" s="30" t="s">
        <v>58</v>
      </c>
      <c r="O404" s="30" t="n">
        <v>3</v>
      </c>
      <c r="P404" s="30" t="n">
        <v>0</v>
      </c>
      <c r="Q404" s="30" t="n">
        <v>2</v>
      </c>
      <c r="R404" s="30" t="n">
        <v>18</v>
      </c>
      <c r="S404" s="30" t="n">
        <v>767</v>
      </c>
      <c r="T404" s="30" t="n">
        <v>767</v>
      </c>
      <c r="U404" s="30" t="n">
        <v>767</v>
      </c>
      <c r="V404" s="30"/>
      <c r="W404" s="30" t="s">
        <v>53</v>
      </c>
      <c r="X404" s="30" t="s">
        <v>53</v>
      </c>
      <c r="Y404" s="30" t="s">
        <v>53</v>
      </c>
      <c r="Z404" s="30" t="s">
        <v>53</v>
      </c>
      <c r="AA404" s="30" t="s">
        <v>53</v>
      </c>
      <c r="AB404" s="30" t="s">
        <v>53</v>
      </c>
      <c r="AC404" s="30" t="s">
        <v>53</v>
      </c>
      <c r="AD404" s="30" t="s">
        <v>53</v>
      </c>
      <c r="AE404" s="30" t="s">
        <v>54</v>
      </c>
      <c r="AF404" s="30" t="n">
        <v>0</v>
      </c>
      <c r="AG404" s="30" t="n">
        <v>0</v>
      </c>
      <c r="AH404" s="30" t="n">
        <v>0</v>
      </c>
      <c r="AI404" s="30" t="n">
        <v>0</v>
      </c>
      <c r="AJ404" s="30" t="n">
        <v>1</v>
      </c>
      <c r="AK404" s="30" t="n">
        <v>0</v>
      </c>
      <c r="AL404" s="26"/>
    </row>
    <row collapsed="false" customFormat="false" customHeight="false" hidden="false" ht="14.5" outlineLevel="0" r="405">
      <c r="A405" s="30" t="n">
        <v>396</v>
      </c>
      <c r="B405" s="30" t="s">
        <v>45</v>
      </c>
      <c r="C405" s="30" t="s">
        <v>59</v>
      </c>
      <c r="D405" s="30" t="s">
        <v>569</v>
      </c>
      <c r="E405" s="30" t="n">
        <v>6</v>
      </c>
      <c r="F405" s="30" t="n">
        <v>3</v>
      </c>
      <c r="G405" s="30"/>
      <c r="H405" s="30" t="s">
        <v>574</v>
      </c>
      <c r="I405" s="30" t="s">
        <v>56</v>
      </c>
      <c r="J405" s="30"/>
      <c r="K405" s="30" t="s">
        <v>64</v>
      </c>
      <c r="L405" s="30" t="s">
        <v>65</v>
      </c>
      <c r="M405" s="30" t="n">
        <v>1963</v>
      </c>
      <c r="N405" s="30" t="s">
        <v>58</v>
      </c>
      <c r="O405" s="30" t="n">
        <v>4</v>
      </c>
      <c r="P405" s="30" t="n">
        <v>0</v>
      </c>
      <c r="Q405" s="30" t="n">
        <v>6</v>
      </c>
      <c r="R405" s="30" t="n">
        <v>96</v>
      </c>
      <c r="S405" s="30" t="n">
        <v>4238</v>
      </c>
      <c r="T405" s="30" t="n">
        <v>4238</v>
      </c>
      <c r="U405" s="30" t="n">
        <v>4238</v>
      </c>
      <c r="V405" s="30"/>
      <c r="W405" s="30" t="s">
        <v>53</v>
      </c>
      <c r="X405" s="30" t="s">
        <v>53</v>
      </c>
      <c r="Y405" s="30" t="s">
        <v>53</v>
      </c>
      <c r="Z405" s="30" t="s">
        <v>53</v>
      </c>
      <c r="AA405" s="30" t="s">
        <v>53</v>
      </c>
      <c r="AB405" s="30" t="s">
        <v>53</v>
      </c>
      <c r="AC405" s="30" t="s">
        <v>53</v>
      </c>
      <c r="AD405" s="30" t="s">
        <v>53</v>
      </c>
      <c r="AE405" s="30" t="s">
        <v>54</v>
      </c>
      <c r="AF405" s="30" t="n">
        <v>0</v>
      </c>
      <c r="AG405" s="30" t="n">
        <v>0</v>
      </c>
      <c r="AH405" s="30" t="n">
        <v>0</v>
      </c>
      <c r="AI405" s="30" t="n">
        <v>0</v>
      </c>
      <c r="AJ405" s="30" t="n">
        <v>1</v>
      </c>
      <c r="AK405" s="30" t="n">
        <v>0</v>
      </c>
      <c r="AL405" s="26"/>
    </row>
    <row collapsed="false" customFormat="false" customHeight="false" hidden="false" ht="14.5" outlineLevel="0" r="406">
      <c r="A406" s="30" t="n">
        <v>397</v>
      </c>
      <c r="B406" s="30" t="s">
        <v>45</v>
      </c>
      <c r="C406" s="30" t="s">
        <v>59</v>
      </c>
      <c r="D406" s="30" t="s">
        <v>569</v>
      </c>
      <c r="E406" s="30" t="n">
        <v>6</v>
      </c>
      <c r="F406" s="30" t="n">
        <v>4</v>
      </c>
      <c r="G406" s="30"/>
      <c r="H406" s="30" t="s">
        <v>575</v>
      </c>
      <c r="I406" s="30" t="s">
        <v>56</v>
      </c>
      <c r="J406" s="30"/>
      <c r="K406" s="30" t="s">
        <v>64</v>
      </c>
      <c r="L406" s="30" t="s">
        <v>65</v>
      </c>
      <c r="M406" s="30" t="n">
        <v>1963</v>
      </c>
      <c r="N406" s="30" t="s">
        <v>58</v>
      </c>
      <c r="O406" s="30" t="n">
        <v>5</v>
      </c>
      <c r="P406" s="30" t="n">
        <v>0</v>
      </c>
      <c r="Q406" s="30" t="n">
        <v>5</v>
      </c>
      <c r="R406" s="30" t="n">
        <v>100</v>
      </c>
      <c r="S406" s="30" t="n">
        <v>4134</v>
      </c>
      <c r="T406" s="30" t="n">
        <v>4134</v>
      </c>
      <c r="U406" s="30" t="n">
        <v>4134</v>
      </c>
      <c r="V406" s="30"/>
      <c r="W406" s="30" t="s">
        <v>53</v>
      </c>
      <c r="X406" s="30" t="s">
        <v>53</v>
      </c>
      <c r="Y406" s="30" t="s">
        <v>53</v>
      </c>
      <c r="Z406" s="30" t="s">
        <v>53</v>
      </c>
      <c r="AA406" s="30" t="s">
        <v>53</v>
      </c>
      <c r="AB406" s="30" t="s">
        <v>53</v>
      </c>
      <c r="AC406" s="30" t="s">
        <v>53</v>
      </c>
      <c r="AD406" s="30" t="s">
        <v>53</v>
      </c>
      <c r="AE406" s="30" t="s">
        <v>54</v>
      </c>
      <c r="AF406" s="30" t="n">
        <v>0</v>
      </c>
      <c r="AG406" s="30" t="n">
        <v>0</v>
      </c>
      <c r="AH406" s="30" t="n">
        <v>0</v>
      </c>
      <c r="AI406" s="30" t="n">
        <v>0</v>
      </c>
      <c r="AJ406" s="30" t="n">
        <v>1</v>
      </c>
      <c r="AK406" s="30" t="n">
        <v>0</v>
      </c>
      <c r="AL406" s="26"/>
    </row>
    <row collapsed="false" customFormat="false" customHeight="false" hidden="false" ht="14.5" outlineLevel="0" r="407">
      <c r="A407" s="30" t="n">
        <v>398</v>
      </c>
      <c r="B407" s="30" t="s">
        <v>45</v>
      </c>
      <c r="C407" s="30" t="s">
        <v>59</v>
      </c>
      <c r="D407" s="30" t="s">
        <v>569</v>
      </c>
      <c r="E407" s="30" t="n">
        <v>8</v>
      </c>
      <c r="F407" s="30" t="n">
        <v>1</v>
      </c>
      <c r="G407" s="30"/>
      <c r="H407" s="30" t="s">
        <v>576</v>
      </c>
      <c r="I407" s="30" t="s">
        <v>56</v>
      </c>
      <c r="J407" s="30"/>
      <c r="K407" s="30" t="s">
        <v>64</v>
      </c>
      <c r="L407" s="30" t="s">
        <v>65</v>
      </c>
      <c r="M407" s="30" t="n">
        <v>1962</v>
      </c>
      <c r="N407" s="30" t="s">
        <v>58</v>
      </c>
      <c r="O407" s="30" t="n">
        <v>5</v>
      </c>
      <c r="P407" s="30" t="n">
        <v>0</v>
      </c>
      <c r="Q407" s="30" t="n">
        <v>4</v>
      </c>
      <c r="R407" s="30" t="n">
        <v>80</v>
      </c>
      <c r="S407" s="30" t="n">
        <v>3483</v>
      </c>
      <c r="T407" s="30" t="n">
        <v>3483</v>
      </c>
      <c r="U407" s="30" t="n">
        <v>3483</v>
      </c>
      <c r="V407" s="30"/>
      <c r="W407" s="30" t="s">
        <v>53</v>
      </c>
      <c r="X407" s="30" t="s">
        <v>53</v>
      </c>
      <c r="Y407" s="30" t="s">
        <v>53</v>
      </c>
      <c r="Z407" s="30" t="s">
        <v>53</v>
      </c>
      <c r="AA407" s="30" t="s">
        <v>53</v>
      </c>
      <c r="AB407" s="30" t="s">
        <v>53</v>
      </c>
      <c r="AC407" s="30" t="s">
        <v>53</v>
      </c>
      <c r="AD407" s="30" t="s">
        <v>53</v>
      </c>
      <c r="AE407" s="30" t="s">
        <v>54</v>
      </c>
      <c r="AF407" s="30" t="n">
        <v>0</v>
      </c>
      <c r="AG407" s="30" t="n">
        <v>0</v>
      </c>
      <c r="AH407" s="30" t="n">
        <v>1</v>
      </c>
      <c r="AI407" s="30" t="n">
        <v>0</v>
      </c>
      <c r="AJ407" s="30" t="n">
        <v>1</v>
      </c>
      <c r="AK407" s="30" t="n">
        <v>0</v>
      </c>
      <c r="AL407" s="26"/>
    </row>
    <row collapsed="false" customFormat="false" customHeight="false" hidden="false" ht="14.5" outlineLevel="0" r="408">
      <c r="A408" s="30" t="n">
        <v>399</v>
      </c>
      <c r="B408" s="30" t="s">
        <v>45</v>
      </c>
      <c r="C408" s="30" t="s">
        <v>59</v>
      </c>
      <c r="D408" s="30" t="s">
        <v>569</v>
      </c>
      <c r="E408" s="30" t="n">
        <v>8</v>
      </c>
      <c r="F408" s="30" t="n">
        <v>2</v>
      </c>
      <c r="G408" s="30"/>
      <c r="H408" s="30" t="s">
        <v>577</v>
      </c>
      <c r="I408" s="30" t="s">
        <v>56</v>
      </c>
      <c r="J408" s="30"/>
      <c r="K408" s="30" t="s">
        <v>64</v>
      </c>
      <c r="L408" s="30" t="s">
        <v>65</v>
      </c>
      <c r="M408" s="30" t="n">
        <v>1962</v>
      </c>
      <c r="N408" s="30" t="s">
        <v>58</v>
      </c>
      <c r="O408" s="30" t="n">
        <v>4</v>
      </c>
      <c r="P408" s="30" t="n">
        <v>0</v>
      </c>
      <c r="Q408" s="30" t="n">
        <v>6</v>
      </c>
      <c r="R408" s="30" t="n">
        <v>96</v>
      </c>
      <c r="S408" s="30" t="n">
        <v>4246</v>
      </c>
      <c r="T408" s="30" t="n">
        <v>4246</v>
      </c>
      <c r="U408" s="30" t="n">
        <v>4246</v>
      </c>
      <c r="V408" s="30"/>
      <c r="W408" s="30" t="s">
        <v>53</v>
      </c>
      <c r="X408" s="30" t="s">
        <v>53</v>
      </c>
      <c r="Y408" s="30" t="s">
        <v>53</v>
      </c>
      <c r="Z408" s="30" t="s">
        <v>53</v>
      </c>
      <c r="AA408" s="30" t="s">
        <v>53</v>
      </c>
      <c r="AB408" s="30" t="s">
        <v>53</v>
      </c>
      <c r="AC408" s="30" t="s">
        <v>53</v>
      </c>
      <c r="AD408" s="30" t="s">
        <v>53</v>
      </c>
      <c r="AE408" s="30" t="s">
        <v>54</v>
      </c>
      <c r="AF408" s="30" t="n">
        <v>0</v>
      </c>
      <c r="AG408" s="30" t="n">
        <v>1</v>
      </c>
      <c r="AH408" s="30" t="n">
        <v>0</v>
      </c>
      <c r="AI408" s="30" t="n">
        <v>0</v>
      </c>
      <c r="AJ408" s="30" t="n">
        <v>1</v>
      </c>
      <c r="AK408" s="30" t="n">
        <v>0</v>
      </c>
      <c r="AL408" s="26"/>
    </row>
    <row collapsed="false" customFormat="false" customHeight="false" hidden="false" ht="14.5" outlineLevel="0" r="409">
      <c r="A409" s="30" t="n">
        <v>400</v>
      </c>
      <c r="B409" s="30" t="s">
        <v>45</v>
      </c>
      <c r="C409" s="30" t="s">
        <v>59</v>
      </c>
      <c r="D409" s="30" t="s">
        <v>569</v>
      </c>
      <c r="E409" s="30" t="n">
        <v>8</v>
      </c>
      <c r="F409" s="30" t="n">
        <v>3</v>
      </c>
      <c r="G409" s="30"/>
      <c r="H409" s="30" t="s">
        <v>578</v>
      </c>
      <c r="I409" s="30" t="s">
        <v>56</v>
      </c>
      <c r="J409" s="30"/>
      <c r="K409" s="30" t="s">
        <v>64</v>
      </c>
      <c r="L409" s="30" t="s">
        <v>65</v>
      </c>
      <c r="M409" s="30" t="n">
        <v>1962</v>
      </c>
      <c r="N409" s="30" t="s">
        <v>58</v>
      </c>
      <c r="O409" s="30" t="n">
        <v>3</v>
      </c>
      <c r="P409" s="30" t="n">
        <v>0</v>
      </c>
      <c r="Q409" s="30" t="n">
        <v>2</v>
      </c>
      <c r="R409" s="30" t="n">
        <v>18</v>
      </c>
      <c r="S409" s="30" t="n">
        <v>768</v>
      </c>
      <c r="T409" s="30" t="n">
        <v>768</v>
      </c>
      <c r="U409" s="30" t="n">
        <v>768</v>
      </c>
      <c r="V409" s="30"/>
      <c r="W409" s="30" t="s">
        <v>53</v>
      </c>
      <c r="X409" s="30" t="s">
        <v>53</v>
      </c>
      <c r="Y409" s="30" t="s">
        <v>53</v>
      </c>
      <c r="Z409" s="30" t="s">
        <v>53</v>
      </c>
      <c r="AA409" s="30" t="s">
        <v>53</v>
      </c>
      <c r="AB409" s="30" t="s">
        <v>53</v>
      </c>
      <c r="AC409" s="30" t="s">
        <v>53</v>
      </c>
      <c r="AD409" s="30" t="s">
        <v>53</v>
      </c>
      <c r="AE409" s="30" t="s">
        <v>54</v>
      </c>
      <c r="AF409" s="30" t="n">
        <v>0</v>
      </c>
      <c r="AG409" s="30" t="n">
        <v>0</v>
      </c>
      <c r="AH409" s="30" t="n">
        <v>0</v>
      </c>
      <c r="AI409" s="30" t="n">
        <v>0</v>
      </c>
      <c r="AJ409" s="30" t="n">
        <v>1</v>
      </c>
      <c r="AK409" s="30" t="n">
        <v>0</v>
      </c>
      <c r="AL409" s="26"/>
    </row>
    <row collapsed="false" customFormat="false" customHeight="false" hidden="false" ht="14.5" outlineLevel="0" r="410">
      <c r="A410" s="30" t="n">
        <v>401</v>
      </c>
      <c r="B410" s="30" t="s">
        <v>45</v>
      </c>
      <c r="C410" s="30" t="s">
        <v>59</v>
      </c>
      <c r="D410" s="30" t="s">
        <v>569</v>
      </c>
      <c r="E410" s="30" t="n">
        <v>8</v>
      </c>
      <c r="F410" s="30" t="n">
        <v>4</v>
      </c>
      <c r="G410" s="30"/>
      <c r="H410" s="30" t="s">
        <v>579</v>
      </c>
      <c r="I410" s="30" t="s">
        <v>56</v>
      </c>
      <c r="J410" s="30"/>
      <c r="K410" s="30" t="s">
        <v>64</v>
      </c>
      <c r="L410" s="30" t="s">
        <v>65</v>
      </c>
      <c r="M410" s="30" t="n">
        <v>1962</v>
      </c>
      <c r="N410" s="30" t="s">
        <v>58</v>
      </c>
      <c r="O410" s="30" t="n">
        <v>5</v>
      </c>
      <c r="P410" s="30" t="n">
        <v>0</v>
      </c>
      <c r="Q410" s="30" t="n">
        <v>5</v>
      </c>
      <c r="R410" s="30" t="n">
        <v>100</v>
      </c>
      <c r="S410" s="30" t="n">
        <v>4170</v>
      </c>
      <c r="T410" s="30" t="n">
        <v>4170</v>
      </c>
      <c r="U410" s="30" t="n">
        <v>4170</v>
      </c>
      <c r="V410" s="30"/>
      <c r="W410" s="30" t="s">
        <v>53</v>
      </c>
      <c r="X410" s="30" t="s">
        <v>53</v>
      </c>
      <c r="Y410" s="30" t="s">
        <v>53</v>
      </c>
      <c r="Z410" s="30" t="s">
        <v>53</v>
      </c>
      <c r="AA410" s="30" t="s">
        <v>53</v>
      </c>
      <c r="AB410" s="30" t="s">
        <v>53</v>
      </c>
      <c r="AC410" s="30" t="s">
        <v>53</v>
      </c>
      <c r="AD410" s="30" t="s">
        <v>53</v>
      </c>
      <c r="AE410" s="30" t="s">
        <v>54</v>
      </c>
      <c r="AF410" s="30" t="n">
        <v>0</v>
      </c>
      <c r="AG410" s="30" t="n">
        <v>0</v>
      </c>
      <c r="AH410" s="30" t="n">
        <v>1</v>
      </c>
      <c r="AI410" s="30" t="n">
        <v>0</v>
      </c>
      <c r="AJ410" s="30" t="n">
        <v>1</v>
      </c>
      <c r="AK410" s="30" t="n">
        <v>0</v>
      </c>
      <c r="AL410" s="26"/>
    </row>
    <row collapsed="false" customFormat="false" customHeight="false" hidden="false" ht="14.5" outlineLevel="0" r="411">
      <c r="A411" s="30" t="n">
        <v>402</v>
      </c>
      <c r="B411" s="30" t="s">
        <v>45</v>
      </c>
      <c r="C411" s="30" t="s">
        <v>59</v>
      </c>
      <c r="D411" s="30" t="s">
        <v>569</v>
      </c>
      <c r="E411" s="30" t="n">
        <v>10</v>
      </c>
      <c r="F411" s="30" t="n">
        <v>2</v>
      </c>
      <c r="G411" s="30"/>
      <c r="H411" s="30" t="s">
        <v>580</v>
      </c>
      <c r="I411" s="30" t="s">
        <v>56</v>
      </c>
      <c r="J411" s="30"/>
      <c r="K411" s="30" t="s">
        <v>64</v>
      </c>
      <c r="L411" s="30" t="s">
        <v>65</v>
      </c>
      <c r="M411" s="30" t="n">
        <v>1964</v>
      </c>
      <c r="N411" s="30" t="s">
        <v>58</v>
      </c>
      <c r="O411" s="30" t="n">
        <v>5</v>
      </c>
      <c r="P411" s="30" t="n">
        <v>0</v>
      </c>
      <c r="Q411" s="30" t="n">
        <v>5</v>
      </c>
      <c r="R411" s="30" t="n">
        <v>100</v>
      </c>
      <c r="S411" s="30" t="n">
        <v>4201</v>
      </c>
      <c r="T411" s="30" t="n">
        <v>4201</v>
      </c>
      <c r="U411" s="30" t="n">
        <v>4201</v>
      </c>
      <c r="V411" s="30"/>
      <c r="W411" s="30" t="s">
        <v>53</v>
      </c>
      <c r="X411" s="30" t="s">
        <v>53</v>
      </c>
      <c r="Y411" s="30" t="s">
        <v>53</v>
      </c>
      <c r="Z411" s="30" t="s">
        <v>53</v>
      </c>
      <c r="AA411" s="30" t="s">
        <v>53</v>
      </c>
      <c r="AB411" s="30" t="s">
        <v>53</v>
      </c>
      <c r="AC411" s="30" t="s">
        <v>53</v>
      </c>
      <c r="AD411" s="30" t="s">
        <v>53</v>
      </c>
      <c r="AE411" s="30" t="s">
        <v>54</v>
      </c>
      <c r="AF411" s="30" t="n">
        <v>0</v>
      </c>
      <c r="AG411" s="30" t="n">
        <v>0</v>
      </c>
      <c r="AH411" s="30" t="n">
        <v>0</v>
      </c>
      <c r="AI411" s="30" t="n">
        <v>0</v>
      </c>
      <c r="AJ411" s="30" t="n">
        <v>1</v>
      </c>
      <c r="AK411" s="30" t="n">
        <v>0</v>
      </c>
      <c r="AL411" s="26"/>
    </row>
    <row collapsed="false" customFormat="false" customHeight="false" hidden="false" ht="14.5" outlineLevel="0" r="412">
      <c r="A412" s="30" t="n">
        <v>403</v>
      </c>
      <c r="B412" s="30" t="s">
        <v>45</v>
      </c>
      <c r="C412" s="30" t="s">
        <v>59</v>
      </c>
      <c r="D412" s="30" t="s">
        <v>569</v>
      </c>
      <c r="E412" s="30" t="n">
        <v>12</v>
      </c>
      <c r="F412" s="30" t="n">
        <v>1</v>
      </c>
      <c r="G412" s="30"/>
      <c r="H412" s="30" t="s">
        <v>581</v>
      </c>
      <c r="I412" s="30" t="s">
        <v>56</v>
      </c>
      <c r="J412" s="30"/>
      <c r="K412" s="30" t="s">
        <v>64</v>
      </c>
      <c r="L412" s="30" t="s">
        <v>65</v>
      </c>
      <c r="M412" s="30" t="n">
        <v>1964</v>
      </c>
      <c r="N412" s="30" t="s">
        <v>58</v>
      </c>
      <c r="O412" s="30" t="n">
        <v>5</v>
      </c>
      <c r="P412" s="30" t="n">
        <v>0</v>
      </c>
      <c r="Q412" s="30" t="n">
        <v>4</v>
      </c>
      <c r="R412" s="30" t="n">
        <v>80</v>
      </c>
      <c r="S412" s="30" t="n">
        <v>3520</v>
      </c>
      <c r="T412" s="30" t="n">
        <v>3520</v>
      </c>
      <c r="U412" s="30" t="n">
        <v>3520</v>
      </c>
      <c r="V412" s="30"/>
      <c r="W412" s="30" t="s">
        <v>53</v>
      </c>
      <c r="X412" s="30" t="s">
        <v>53</v>
      </c>
      <c r="Y412" s="30" t="s">
        <v>53</v>
      </c>
      <c r="Z412" s="30" t="s">
        <v>53</v>
      </c>
      <c r="AA412" s="30" t="s">
        <v>53</v>
      </c>
      <c r="AB412" s="30" t="s">
        <v>53</v>
      </c>
      <c r="AC412" s="30" t="s">
        <v>53</v>
      </c>
      <c r="AD412" s="30" t="s">
        <v>53</v>
      </c>
      <c r="AE412" s="30" t="s">
        <v>54</v>
      </c>
      <c r="AF412" s="30" t="n">
        <v>0</v>
      </c>
      <c r="AG412" s="30" t="n">
        <v>0</v>
      </c>
      <c r="AH412" s="30" t="n">
        <v>1</v>
      </c>
      <c r="AI412" s="30" t="n">
        <v>0</v>
      </c>
      <c r="AJ412" s="30" t="n">
        <v>1</v>
      </c>
      <c r="AK412" s="30" t="n">
        <v>0</v>
      </c>
      <c r="AL412" s="26"/>
    </row>
    <row collapsed="false" customFormat="false" customHeight="false" hidden="false" ht="14.5" outlineLevel="0" r="413">
      <c r="A413" s="30" t="n">
        <v>404</v>
      </c>
      <c r="B413" s="30" t="s">
        <v>45</v>
      </c>
      <c r="C413" s="30" t="s">
        <v>59</v>
      </c>
      <c r="D413" s="30" t="s">
        <v>569</v>
      </c>
      <c r="E413" s="30" t="n">
        <v>12</v>
      </c>
      <c r="F413" s="30" t="n">
        <v>2</v>
      </c>
      <c r="G413" s="30"/>
      <c r="H413" s="30" t="s">
        <v>582</v>
      </c>
      <c r="I413" s="30" t="s">
        <v>56</v>
      </c>
      <c r="J413" s="30"/>
      <c r="K413" s="30" t="s">
        <v>64</v>
      </c>
      <c r="L413" s="30" t="s">
        <v>65</v>
      </c>
      <c r="M413" s="30" t="n">
        <v>1964</v>
      </c>
      <c r="N413" s="30" t="s">
        <v>58</v>
      </c>
      <c r="O413" s="30" t="n">
        <v>4</v>
      </c>
      <c r="P413" s="30" t="n">
        <v>0</v>
      </c>
      <c r="Q413" s="30" t="n">
        <v>6</v>
      </c>
      <c r="R413" s="30" t="n">
        <v>95</v>
      </c>
      <c r="S413" s="30" t="n">
        <v>4266</v>
      </c>
      <c r="T413" s="30" t="n">
        <v>4266</v>
      </c>
      <c r="U413" s="30" t="n">
        <v>4266</v>
      </c>
      <c r="V413" s="30"/>
      <c r="W413" s="30" t="s">
        <v>53</v>
      </c>
      <c r="X413" s="30" t="s">
        <v>53</v>
      </c>
      <c r="Y413" s="30" t="s">
        <v>53</v>
      </c>
      <c r="Z413" s="30" t="s">
        <v>53</v>
      </c>
      <c r="AA413" s="30" t="s">
        <v>53</v>
      </c>
      <c r="AB413" s="30" t="s">
        <v>53</v>
      </c>
      <c r="AC413" s="30" t="s">
        <v>53</v>
      </c>
      <c r="AD413" s="30" t="s">
        <v>53</v>
      </c>
      <c r="AE413" s="30" t="s">
        <v>54</v>
      </c>
      <c r="AF413" s="30" t="n">
        <v>0</v>
      </c>
      <c r="AG413" s="30" t="n">
        <v>0</v>
      </c>
      <c r="AH413" s="30" t="n">
        <v>0</v>
      </c>
      <c r="AI413" s="30" t="n">
        <v>0</v>
      </c>
      <c r="AJ413" s="30" t="n">
        <v>1</v>
      </c>
      <c r="AK413" s="30" t="n">
        <v>0</v>
      </c>
      <c r="AL413" s="26"/>
    </row>
    <row collapsed="false" customFormat="false" customHeight="false" hidden="false" ht="14.5" outlineLevel="0" r="414">
      <c r="A414" s="30" t="n">
        <v>405</v>
      </c>
      <c r="B414" s="30" t="s">
        <v>45</v>
      </c>
      <c r="C414" s="30" t="s">
        <v>59</v>
      </c>
      <c r="D414" s="30" t="s">
        <v>569</v>
      </c>
      <c r="E414" s="30" t="n">
        <v>12</v>
      </c>
      <c r="F414" s="30" t="n">
        <v>3</v>
      </c>
      <c r="G414" s="30"/>
      <c r="H414" s="30" t="s">
        <v>583</v>
      </c>
      <c r="I414" s="30" t="s">
        <v>56</v>
      </c>
      <c r="J414" s="30"/>
      <c r="K414" s="30" t="s">
        <v>64</v>
      </c>
      <c r="L414" s="30" t="s">
        <v>65</v>
      </c>
      <c r="M414" s="30" t="n">
        <v>1963</v>
      </c>
      <c r="N414" s="30" t="s">
        <v>58</v>
      </c>
      <c r="O414" s="30" t="n">
        <v>5</v>
      </c>
      <c r="P414" s="30" t="n">
        <v>0</v>
      </c>
      <c r="Q414" s="30" t="n">
        <v>5</v>
      </c>
      <c r="R414" s="30" t="n">
        <v>100</v>
      </c>
      <c r="S414" s="30" t="n">
        <v>4242</v>
      </c>
      <c r="T414" s="30" t="n">
        <v>4242</v>
      </c>
      <c r="U414" s="30" t="n">
        <v>4242</v>
      </c>
      <c r="V414" s="30"/>
      <c r="W414" s="30" t="s">
        <v>53</v>
      </c>
      <c r="X414" s="30" t="s">
        <v>53</v>
      </c>
      <c r="Y414" s="30" t="s">
        <v>53</v>
      </c>
      <c r="Z414" s="30" t="s">
        <v>53</v>
      </c>
      <c r="AA414" s="30" t="s">
        <v>53</v>
      </c>
      <c r="AB414" s="30" t="s">
        <v>53</v>
      </c>
      <c r="AC414" s="30" t="s">
        <v>53</v>
      </c>
      <c r="AD414" s="30" t="s">
        <v>53</v>
      </c>
      <c r="AE414" s="30" t="s">
        <v>54</v>
      </c>
      <c r="AF414" s="30" t="n">
        <v>0</v>
      </c>
      <c r="AG414" s="30" t="n">
        <v>0</v>
      </c>
      <c r="AH414" s="30" t="n">
        <v>1</v>
      </c>
      <c r="AI414" s="30" t="n">
        <v>0</v>
      </c>
      <c r="AJ414" s="30" t="n">
        <v>1</v>
      </c>
      <c r="AK414" s="30" t="n">
        <v>0</v>
      </c>
      <c r="AL414" s="26"/>
    </row>
    <row collapsed="false" customFormat="false" customHeight="false" hidden="false" ht="14.5" outlineLevel="0" r="415">
      <c r="A415" s="30" t="n">
        <v>406</v>
      </c>
      <c r="B415" s="30" t="s">
        <v>45</v>
      </c>
      <c r="C415" s="30" t="s">
        <v>59</v>
      </c>
      <c r="D415" s="30" t="s">
        <v>569</v>
      </c>
      <c r="E415" s="30" t="n">
        <v>14</v>
      </c>
      <c r="F415" s="30" t="n">
        <v>1</v>
      </c>
      <c r="G415" s="30"/>
      <c r="H415" s="30" t="s">
        <v>584</v>
      </c>
      <c r="I415" s="30" t="s">
        <v>56</v>
      </c>
      <c r="J415" s="30"/>
      <c r="K415" s="30" t="s">
        <v>64</v>
      </c>
      <c r="L415" s="30" t="s">
        <v>65</v>
      </c>
      <c r="M415" s="30" t="n">
        <v>1964</v>
      </c>
      <c r="N415" s="30" t="s">
        <v>58</v>
      </c>
      <c r="O415" s="30" t="n">
        <v>5</v>
      </c>
      <c r="P415" s="30" t="n">
        <v>0</v>
      </c>
      <c r="Q415" s="30" t="n">
        <v>4</v>
      </c>
      <c r="R415" s="30" t="n">
        <v>79</v>
      </c>
      <c r="S415" s="30" t="n">
        <v>3528</v>
      </c>
      <c r="T415" s="30" t="n">
        <v>3528</v>
      </c>
      <c r="U415" s="30" t="n">
        <v>3528</v>
      </c>
      <c r="V415" s="30"/>
      <c r="W415" s="30" t="s">
        <v>53</v>
      </c>
      <c r="X415" s="30" t="s">
        <v>53</v>
      </c>
      <c r="Y415" s="30" t="s">
        <v>53</v>
      </c>
      <c r="Z415" s="30" t="s">
        <v>53</v>
      </c>
      <c r="AA415" s="30" t="s">
        <v>53</v>
      </c>
      <c r="AB415" s="30" t="s">
        <v>53</v>
      </c>
      <c r="AC415" s="30" t="s">
        <v>53</v>
      </c>
      <c r="AD415" s="30" t="s">
        <v>53</v>
      </c>
      <c r="AE415" s="30" t="s">
        <v>54</v>
      </c>
      <c r="AF415" s="30" t="n">
        <v>0</v>
      </c>
      <c r="AG415" s="30" t="n">
        <v>0</v>
      </c>
      <c r="AH415" s="30" t="n">
        <v>1</v>
      </c>
      <c r="AI415" s="30" t="n">
        <v>0</v>
      </c>
      <c r="AJ415" s="30" t="n">
        <v>1</v>
      </c>
      <c r="AK415" s="30" t="n">
        <v>0</v>
      </c>
      <c r="AL415" s="26"/>
    </row>
    <row collapsed="false" customFormat="false" customHeight="false" hidden="false" ht="14.5" outlineLevel="0" r="416">
      <c r="A416" s="30" t="n">
        <v>407</v>
      </c>
      <c r="B416" s="30" t="s">
        <v>45</v>
      </c>
      <c r="C416" s="30" t="s">
        <v>59</v>
      </c>
      <c r="D416" s="30" t="s">
        <v>569</v>
      </c>
      <c r="E416" s="30" t="n">
        <v>14</v>
      </c>
      <c r="F416" s="30" t="n">
        <v>2</v>
      </c>
      <c r="G416" s="30"/>
      <c r="H416" s="30" t="s">
        <v>585</v>
      </c>
      <c r="I416" s="30" t="s">
        <v>56</v>
      </c>
      <c r="J416" s="30"/>
      <c r="K416" s="30" t="s">
        <v>64</v>
      </c>
      <c r="L416" s="30" t="s">
        <v>65</v>
      </c>
      <c r="M416" s="30" t="n">
        <v>1964</v>
      </c>
      <c r="N416" s="30" t="s">
        <v>58</v>
      </c>
      <c r="O416" s="30" t="n">
        <v>4</v>
      </c>
      <c r="P416" s="30" t="n">
        <v>0</v>
      </c>
      <c r="Q416" s="30" t="n">
        <v>6</v>
      </c>
      <c r="R416" s="30" t="n">
        <v>95</v>
      </c>
      <c r="S416" s="30" t="n">
        <v>4209</v>
      </c>
      <c r="T416" s="30" t="n">
        <v>4209</v>
      </c>
      <c r="U416" s="30" t="n">
        <v>4209</v>
      </c>
      <c r="V416" s="30"/>
      <c r="W416" s="30" t="s">
        <v>53</v>
      </c>
      <c r="X416" s="30" t="s">
        <v>53</v>
      </c>
      <c r="Y416" s="30" t="s">
        <v>53</v>
      </c>
      <c r="Z416" s="30" t="s">
        <v>53</v>
      </c>
      <c r="AA416" s="30" t="s">
        <v>53</v>
      </c>
      <c r="AB416" s="30" t="s">
        <v>53</v>
      </c>
      <c r="AC416" s="30" t="s">
        <v>53</v>
      </c>
      <c r="AD416" s="30" t="s">
        <v>53</v>
      </c>
      <c r="AE416" s="30" t="s">
        <v>54</v>
      </c>
      <c r="AF416" s="30" t="n">
        <v>0</v>
      </c>
      <c r="AG416" s="30" t="n">
        <v>0</v>
      </c>
      <c r="AH416" s="30" t="n">
        <v>0</v>
      </c>
      <c r="AI416" s="30" t="n">
        <v>0</v>
      </c>
      <c r="AJ416" s="30" t="n">
        <v>1</v>
      </c>
      <c r="AK416" s="30" t="n">
        <v>0</v>
      </c>
      <c r="AL416" s="26"/>
    </row>
    <row collapsed="false" customFormat="false" customHeight="false" hidden="false" ht="14.5" outlineLevel="0" r="417">
      <c r="A417" s="30" t="n">
        <v>408</v>
      </c>
      <c r="B417" s="30" t="s">
        <v>45</v>
      </c>
      <c r="C417" s="30" t="s">
        <v>59</v>
      </c>
      <c r="D417" s="30" t="s">
        <v>569</v>
      </c>
      <c r="E417" s="30" t="n">
        <v>14</v>
      </c>
      <c r="F417" s="30" t="n">
        <v>3</v>
      </c>
      <c r="G417" s="30"/>
      <c r="H417" s="30" t="s">
        <v>586</v>
      </c>
      <c r="I417" s="30" t="s">
        <v>56</v>
      </c>
      <c r="J417" s="30"/>
      <c r="K417" s="30" t="s">
        <v>64</v>
      </c>
      <c r="L417" s="30" t="s">
        <v>65</v>
      </c>
      <c r="M417" s="30" t="n">
        <v>1964</v>
      </c>
      <c r="N417" s="30" t="s">
        <v>58</v>
      </c>
      <c r="O417" s="30" t="n">
        <v>5</v>
      </c>
      <c r="P417" s="30" t="n">
        <v>0</v>
      </c>
      <c r="Q417" s="30" t="n">
        <v>5</v>
      </c>
      <c r="R417" s="30" t="n">
        <v>100</v>
      </c>
      <c r="S417" s="30" t="n">
        <v>4210</v>
      </c>
      <c r="T417" s="30" t="n">
        <v>4210</v>
      </c>
      <c r="U417" s="30" t="n">
        <v>4210</v>
      </c>
      <c r="V417" s="30"/>
      <c r="W417" s="30" t="s">
        <v>53</v>
      </c>
      <c r="X417" s="30" t="s">
        <v>53</v>
      </c>
      <c r="Y417" s="30" t="s">
        <v>53</v>
      </c>
      <c r="Z417" s="30" t="s">
        <v>53</v>
      </c>
      <c r="AA417" s="30" t="s">
        <v>53</v>
      </c>
      <c r="AB417" s="30" t="s">
        <v>53</v>
      </c>
      <c r="AC417" s="30" t="s">
        <v>53</v>
      </c>
      <c r="AD417" s="30" t="s">
        <v>53</v>
      </c>
      <c r="AE417" s="30" t="s">
        <v>54</v>
      </c>
      <c r="AF417" s="30" t="n">
        <v>0</v>
      </c>
      <c r="AG417" s="30" t="n">
        <v>0</v>
      </c>
      <c r="AH417" s="30" t="n">
        <v>0</v>
      </c>
      <c r="AI417" s="30" t="n">
        <v>0</v>
      </c>
      <c r="AJ417" s="30" t="n">
        <v>1</v>
      </c>
      <c r="AK417" s="30" t="n">
        <v>0</v>
      </c>
      <c r="AL417" s="26"/>
    </row>
    <row collapsed="false" customFormat="false" customHeight="false" hidden="false" ht="14.5" outlineLevel="0" r="418">
      <c r="A418" s="30" t="n">
        <v>409</v>
      </c>
      <c r="B418" s="30" t="s">
        <v>45</v>
      </c>
      <c r="C418" s="30" t="s">
        <v>59</v>
      </c>
      <c r="D418" s="30" t="s">
        <v>569</v>
      </c>
      <c r="E418" s="30" t="n">
        <v>14</v>
      </c>
      <c r="F418" s="30" t="n">
        <v>4</v>
      </c>
      <c r="G418" s="30"/>
      <c r="H418" s="30" t="s">
        <v>587</v>
      </c>
      <c r="I418" s="30" t="s">
        <v>56</v>
      </c>
      <c r="J418" s="30"/>
      <c r="K418" s="30" t="s">
        <v>64</v>
      </c>
      <c r="L418" s="30" t="s">
        <v>65</v>
      </c>
      <c r="M418" s="30" t="n">
        <v>1964</v>
      </c>
      <c r="N418" s="30" t="s">
        <v>58</v>
      </c>
      <c r="O418" s="30" t="n">
        <v>5</v>
      </c>
      <c r="P418" s="30" t="n">
        <v>0</v>
      </c>
      <c r="Q418" s="30" t="n">
        <v>5</v>
      </c>
      <c r="R418" s="30" t="n">
        <v>100</v>
      </c>
      <c r="S418" s="30" t="n">
        <v>4185</v>
      </c>
      <c r="T418" s="30" t="n">
        <v>4185</v>
      </c>
      <c r="U418" s="30" t="n">
        <v>4185</v>
      </c>
      <c r="V418" s="30"/>
      <c r="W418" s="30" t="s">
        <v>53</v>
      </c>
      <c r="X418" s="30" t="s">
        <v>53</v>
      </c>
      <c r="Y418" s="30" t="s">
        <v>53</v>
      </c>
      <c r="Z418" s="30" t="s">
        <v>53</v>
      </c>
      <c r="AA418" s="30" t="s">
        <v>53</v>
      </c>
      <c r="AB418" s="30" t="s">
        <v>53</v>
      </c>
      <c r="AC418" s="30" t="s">
        <v>53</v>
      </c>
      <c r="AD418" s="30" t="s">
        <v>53</v>
      </c>
      <c r="AE418" s="30" t="s">
        <v>54</v>
      </c>
      <c r="AF418" s="30" t="n">
        <v>0</v>
      </c>
      <c r="AG418" s="30" t="n">
        <v>0</v>
      </c>
      <c r="AH418" s="30" t="n">
        <v>1</v>
      </c>
      <c r="AI418" s="30" t="n">
        <v>0</v>
      </c>
      <c r="AJ418" s="30" t="n">
        <v>1</v>
      </c>
      <c r="AK418" s="30" t="n">
        <v>0</v>
      </c>
      <c r="AL418" s="26"/>
    </row>
    <row collapsed="false" customFormat="false" customHeight="false" hidden="false" ht="14.5" outlineLevel="0" r="419">
      <c r="A419" s="30" t="n">
        <v>410</v>
      </c>
      <c r="B419" s="30" t="s">
        <v>45</v>
      </c>
      <c r="C419" s="30" t="s">
        <v>59</v>
      </c>
      <c r="D419" s="30" t="s">
        <v>569</v>
      </c>
      <c r="E419" s="30" t="n">
        <v>16</v>
      </c>
      <c r="F419" s="30" t="n">
        <v>1</v>
      </c>
      <c r="G419" s="30"/>
      <c r="H419" s="30" t="s">
        <v>588</v>
      </c>
      <c r="I419" s="30" t="s">
        <v>56</v>
      </c>
      <c r="J419" s="30"/>
      <c r="K419" s="30" t="s">
        <v>64</v>
      </c>
      <c r="L419" s="30" t="s">
        <v>65</v>
      </c>
      <c r="M419" s="30" t="n">
        <v>1964</v>
      </c>
      <c r="N419" s="30" t="s">
        <v>58</v>
      </c>
      <c r="O419" s="30" t="n">
        <v>5</v>
      </c>
      <c r="P419" s="30" t="n">
        <v>0</v>
      </c>
      <c r="Q419" s="30" t="n">
        <v>4</v>
      </c>
      <c r="R419" s="30" t="n">
        <v>80</v>
      </c>
      <c r="S419" s="30" t="n">
        <v>3486</v>
      </c>
      <c r="T419" s="30" t="n">
        <v>3486</v>
      </c>
      <c r="U419" s="30" t="n">
        <v>3486</v>
      </c>
      <c r="V419" s="30"/>
      <c r="W419" s="30" t="s">
        <v>53</v>
      </c>
      <c r="X419" s="30" t="s">
        <v>53</v>
      </c>
      <c r="Y419" s="30" t="s">
        <v>53</v>
      </c>
      <c r="Z419" s="30" t="s">
        <v>53</v>
      </c>
      <c r="AA419" s="30" t="s">
        <v>53</v>
      </c>
      <c r="AB419" s="30" t="s">
        <v>53</v>
      </c>
      <c r="AC419" s="30" t="s">
        <v>53</v>
      </c>
      <c r="AD419" s="30" t="s">
        <v>53</v>
      </c>
      <c r="AE419" s="30" t="s">
        <v>54</v>
      </c>
      <c r="AF419" s="30" t="n">
        <v>0</v>
      </c>
      <c r="AG419" s="30" t="n">
        <v>0</v>
      </c>
      <c r="AH419" s="30" t="n">
        <v>1</v>
      </c>
      <c r="AI419" s="30" t="n">
        <v>0</v>
      </c>
      <c r="AJ419" s="30" t="n">
        <v>1</v>
      </c>
      <c r="AK419" s="30" t="n">
        <v>0</v>
      </c>
      <c r="AL419" s="26"/>
    </row>
    <row collapsed="false" customFormat="false" customHeight="false" hidden="false" ht="14.5" outlineLevel="0" r="420">
      <c r="A420" s="30" t="n">
        <v>411</v>
      </c>
      <c r="B420" s="30" t="s">
        <v>45</v>
      </c>
      <c r="C420" s="30" t="s">
        <v>59</v>
      </c>
      <c r="D420" s="30" t="s">
        <v>569</v>
      </c>
      <c r="E420" s="30" t="n">
        <v>16</v>
      </c>
      <c r="F420" s="30" t="n">
        <v>3</v>
      </c>
      <c r="G420" s="30"/>
      <c r="H420" s="30" t="s">
        <v>589</v>
      </c>
      <c r="I420" s="30" t="s">
        <v>56</v>
      </c>
      <c r="J420" s="30"/>
      <c r="K420" s="30" t="s">
        <v>64</v>
      </c>
      <c r="L420" s="30" t="s">
        <v>65</v>
      </c>
      <c r="M420" s="30" t="n">
        <v>1964</v>
      </c>
      <c r="N420" s="30" t="s">
        <v>58</v>
      </c>
      <c r="O420" s="30" t="n">
        <v>5</v>
      </c>
      <c r="P420" s="30" t="n">
        <v>0</v>
      </c>
      <c r="Q420" s="30" t="n">
        <v>5</v>
      </c>
      <c r="R420" s="30" t="n">
        <v>100</v>
      </c>
      <c r="S420" s="30" t="n">
        <v>4206</v>
      </c>
      <c r="T420" s="30" t="n">
        <v>4206</v>
      </c>
      <c r="U420" s="30" t="n">
        <v>4206</v>
      </c>
      <c r="V420" s="30"/>
      <c r="W420" s="30" t="s">
        <v>53</v>
      </c>
      <c r="X420" s="30" t="s">
        <v>53</v>
      </c>
      <c r="Y420" s="30" t="s">
        <v>53</v>
      </c>
      <c r="Z420" s="30" t="s">
        <v>53</v>
      </c>
      <c r="AA420" s="30" t="s">
        <v>53</v>
      </c>
      <c r="AB420" s="30" t="s">
        <v>53</v>
      </c>
      <c r="AC420" s="30" t="s">
        <v>53</v>
      </c>
      <c r="AD420" s="30" t="s">
        <v>53</v>
      </c>
      <c r="AE420" s="30" t="s">
        <v>54</v>
      </c>
      <c r="AF420" s="30" t="n">
        <v>0</v>
      </c>
      <c r="AG420" s="30" t="n">
        <v>0</v>
      </c>
      <c r="AH420" s="30" t="n">
        <v>0</v>
      </c>
      <c r="AI420" s="30" t="n">
        <v>0</v>
      </c>
      <c r="AJ420" s="30" t="n">
        <v>1</v>
      </c>
      <c r="AK420" s="30" t="n">
        <v>0</v>
      </c>
      <c r="AL420" s="26"/>
    </row>
    <row collapsed="false" customFormat="false" customHeight="false" hidden="false" ht="14.5" outlineLevel="0" r="421">
      <c r="A421" s="30" t="n">
        <v>412</v>
      </c>
      <c r="B421" s="30" t="s">
        <v>45</v>
      </c>
      <c r="C421" s="30" t="s">
        <v>59</v>
      </c>
      <c r="D421" s="30" t="s">
        <v>590</v>
      </c>
      <c r="E421" s="30" t="n">
        <v>4</v>
      </c>
      <c r="F421" s="30"/>
      <c r="G421" s="30"/>
      <c r="H421" s="30" t="s">
        <v>591</v>
      </c>
      <c r="I421" s="30" t="s">
        <v>56</v>
      </c>
      <c r="J421" s="30"/>
      <c r="K421" s="30" t="s">
        <v>64</v>
      </c>
      <c r="L421" s="30" t="s">
        <v>65</v>
      </c>
      <c r="M421" s="30" t="n">
        <v>1967</v>
      </c>
      <c r="N421" s="30" t="s">
        <v>58</v>
      </c>
      <c r="O421" s="30" t="n">
        <v>5</v>
      </c>
      <c r="P421" s="30" t="n">
        <v>0</v>
      </c>
      <c r="Q421" s="30" t="n">
        <v>4</v>
      </c>
      <c r="R421" s="30" t="n">
        <v>63</v>
      </c>
      <c r="S421" s="30" t="n">
        <v>3664</v>
      </c>
      <c r="T421" s="30" t="n">
        <v>3664</v>
      </c>
      <c r="U421" s="30" t="n">
        <v>2749</v>
      </c>
      <c r="V421" s="30" t="n">
        <v>915</v>
      </c>
      <c r="W421" s="30" t="s">
        <v>53</v>
      </c>
      <c r="X421" s="30" t="s">
        <v>53</v>
      </c>
      <c r="Y421" s="30" t="s">
        <v>53</v>
      </c>
      <c r="Z421" s="30" t="s">
        <v>53</v>
      </c>
      <c r="AA421" s="30" t="s">
        <v>53</v>
      </c>
      <c r="AB421" s="30" t="s">
        <v>53</v>
      </c>
      <c r="AC421" s="30" t="s">
        <v>53</v>
      </c>
      <c r="AD421" s="30" t="s">
        <v>53</v>
      </c>
      <c r="AE421" s="30" t="s">
        <v>54</v>
      </c>
      <c r="AF421" s="30" t="n">
        <v>0</v>
      </c>
      <c r="AG421" s="30" t="n">
        <v>0</v>
      </c>
      <c r="AH421" s="30" t="n">
        <v>1</v>
      </c>
      <c r="AI421" s="30" t="n">
        <v>0</v>
      </c>
      <c r="AJ421" s="30" t="n">
        <v>1</v>
      </c>
      <c r="AK421" s="30" t="n">
        <v>0</v>
      </c>
      <c r="AL421" s="26"/>
    </row>
    <row collapsed="false" customFormat="false" customHeight="false" hidden="false" ht="14.5" outlineLevel="0" r="422">
      <c r="A422" s="30" t="n">
        <v>413</v>
      </c>
      <c r="B422" s="30" t="s">
        <v>45</v>
      </c>
      <c r="C422" s="30" t="s">
        <v>59</v>
      </c>
      <c r="D422" s="30" t="s">
        <v>590</v>
      </c>
      <c r="E422" s="30" t="n">
        <v>10</v>
      </c>
      <c r="F422" s="30"/>
      <c r="G422" s="30"/>
      <c r="H422" s="30" t="s">
        <v>592</v>
      </c>
      <c r="I422" s="30" t="s">
        <v>56</v>
      </c>
      <c r="J422" s="30"/>
      <c r="K422" s="30" t="s">
        <v>81</v>
      </c>
      <c r="L422" s="30"/>
      <c r="M422" s="30" t="n">
        <v>1935</v>
      </c>
      <c r="N422" s="30" t="s">
        <v>58</v>
      </c>
      <c r="O422" s="30" t="n">
        <v>5</v>
      </c>
      <c r="P422" s="30" t="n">
        <v>0</v>
      </c>
      <c r="Q422" s="30" t="n">
        <v>4</v>
      </c>
      <c r="R422" s="30" t="n">
        <v>48</v>
      </c>
      <c r="S422" s="30" t="n">
        <v>2881</v>
      </c>
      <c r="T422" s="30" t="n">
        <v>2881</v>
      </c>
      <c r="U422" s="30" t="n">
        <v>2881</v>
      </c>
      <c r="V422" s="30"/>
      <c r="W422" s="30" t="s">
        <v>53</v>
      </c>
      <c r="X422" s="30" t="s">
        <v>53</v>
      </c>
      <c r="Y422" s="30" t="s">
        <v>53</v>
      </c>
      <c r="Z422" s="30" t="s">
        <v>53</v>
      </c>
      <c r="AA422" s="30" t="s">
        <v>53</v>
      </c>
      <c r="AB422" s="30" t="s">
        <v>53</v>
      </c>
      <c r="AC422" s="30" t="s">
        <v>53</v>
      </c>
      <c r="AD422" s="30" t="s">
        <v>53</v>
      </c>
      <c r="AE422" s="30" t="s">
        <v>54</v>
      </c>
      <c r="AF422" s="30" t="n">
        <v>0</v>
      </c>
      <c r="AG422" s="30" t="n">
        <v>0</v>
      </c>
      <c r="AH422" s="30" t="n">
        <v>1</v>
      </c>
      <c r="AI422" s="30" t="n">
        <v>0</v>
      </c>
      <c r="AJ422" s="30" t="n">
        <v>1</v>
      </c>
      <c r="AK422" s="30" t="n">
        <v>0</v>
      </c>
      <c r="AL422" s="26"/>
    </row>
    <row collapsed="false" customFormat="false" customHeight="false" hidden="false" ht="14.5" outlineLevel="0" r="423">
      <c r="A423" s="30" t="n">
        <v>414</v>
      </c>
      <c r="B423" s="30" t="s">
        <v>45</v>
      </c>
      <c r="C423" s="30" t="s">
        <v>59</v>
      </c>
      <c r="D423" s="30" t="s">
        <v>590</v>
      </c>
      <c r="E423" s="30" t="s">
        <v>593</v>
      </c>
      <c r="F423" s="30"/>
      <c r="G423" s="30"/>
      <c r="H423" s="30" t="s">
        <v>594</v>
      </c>
      <c r="I423" s="30" t="s">
        <v>56</v>
      </c>
      <c r="J423" s="30"/>
      <c r="K423" s="30" t="s">
        <v>64</v>
      </c>
      <c r="L423" s="30" t="s">
        <v>65</v>
      </c>
      <c r="M423" s="30" t="n">
        <v>1965</v>
      </c>
      <c r="N423" s="30" t="s">
        <v>58</v>
      </c>
      <c r="O423" s="30" t="n">
        <v>4</v>
      </c>
      <c r="P423" s="30" t="n">
        <v>0</v>
      </c>
      <c r="Q423" s="30" t="n">
        <v>3</v>
      </c>
      <c r="R423" s="30" t="n">
        <v>30</v>
      </c>
      <c r="S423" s="30" t="n">
        <v>1485</v>
      </c>
      <c r="T423" s="30" t="n">
        <v>1485</v>
      </c>
      <c r="U423" s="30" t="n">
        <v>1485</v>
      </c>
      <c r="V423" s="30"/>
      <c r="W423" s="30" t="s">
        <v>53</v>
      </c>
      <c r="X423" s="30" t="s">
        <v>53</v>
      </c>
      <c r="Y423" s="30" t="s">
        <v>53</v>
      </c>
      <c r="Z423" s="30" t="s">
        <v>53</v>
      </c>
      <c r="AA423" s="30" t="s">
        <v>53</v>
      </c>
      <c r="AB423" s="30" t="s">
        <v>53</v>
      </c>
      <c r="AC423" s="30" t="s">
        <v>53</v>
      </c>
      <c r="AD423" s="30" t="s">
        <v>53</v>
      </c>
      <c r="AE423" s="30" t="s">
        <v>54</v>
      </c>
      <c r="AF423" s="30" t="n">
        <v>0</v>
      </c>
      <c r="AG423" s="30" t="n">
        <v>0</v>
      </c>
      <c r="AH423" s="30" t="n">
        <v>2</v>
      </c>
      <c r="AI423" s="30" t="n">
        <v>0</v>
      </c>
      <c r="AJ423" s="30"/>
      <c r="AK423" s="30"/>
      <c r="AL423" s="26"/>
    </row>
    <row collapsed="false" customFormat="false" customHeight="false" hidden="false" ht="14.5" outlineLevel="0" r="424">
      <c r="A424" s="30" t="n">
        <v>415</v>
      </c>
      <c r="B424" s="30" t="s">
        <v>45</v>
      </c>
      <c r="C424" s="30" t="s">
        <v>59</v>
      </c>
      <c r="D424" s="30" t="s">
        <v>590</v>
      </c>
      <c r="E424" s="30" t="n">
        <v>13</v>
      </c>
      <c r="F424" s="30"/>
      <c r="G424" s="30"/>
      <c r="H424" s="30" t="s">
        <v>595</v>
      </c>
      <c r="I424" s="30" t="s">
        <v>56</v>
      </c>
      <c r="J424" s="30"/>
      <c r="K424" s="30" t="s">
        <v>64</v>
      </c>
      <c r="L424" s="30" t="s">
        <v>65</v>
      </c>
      <c r="M424" s="30" t="n">
        <v>1963</v>
      </c>
      <c r="N424" s="30" t="s">
        <v>58</v>
      </c>
      <c r="O424" s="30" t="n">
        <v>4</v>
      </c>
      <c r="P424" s="30" t="n">
        <v>0</v>
      </c>
      <c r="Q424" s="30" t="n">
        <v>2</v>
      </c>
      <c r="R424" s="30" t="n">
        <v>32</v>
      </c>
      <c r="S424" s="30" t="n">
        <v>1282</v>
      </c>
      <c r="T424" s="30" t="n">
        <v>1282</v>
      </c>
      <c r="U424" s="30" t="n">
        <v>1282</v>
      </c>
      <c r="V424" s="30"/>
      <c r="W424" s="30" t="s">
        <v>53</v>
      </c>
      <c r="X424" s="30" t="s">
        <v>53</v>
      </c>
      <c r="Y424" s="30" t="s">
        <v>53</v>
      </c>
      <c r="Z424" s="30" t="s">
        <v>53</v>
      </c>
      <c r="AA424" s="30" t="s">
        <v>53</v>
      </c>
      <c r="AB424" s="30" t="s">
        <v>53</v>
      </c>
      <c r="AC424" s="30" t="s">
        <v>53</v>
      </c>
      <c r="AD424" s="30" t="s">
        <v>53</v>
      </c>
      <c r="AE424" s="30" t="s">
        <v>54</v>
      </c>
      <c r="AF424" s="30" t="n">
        <v>0</v>
      </c>
      <c r="AG424" s="30" t="n">
        <v>0</v>
      </c>
      <c r="AH424" s="30" t="n">
        <v>1</v>
      </c>
      <c r="AI424" s="30" t="n">
        <v>0</v>
      </c>
      <c r="AJ424" s="30" t="n">
        <v>1</v>
      </c>
      <c r="AK424" s="30" t="n">
        <v>0</v>
      </c>
      <c r="AL424" s="26"/>
    </row>
    <row collapsed="false" customFormat="false" customHeight="false" hidden="false" ht="14.5" outlineLevel="0" r="425">
      <c r="A425" s="30" t="n">
        <v>416</v>
      </c>
      <c r="B425" s="30" t="s">
        <v>45</v>
      </c>
      <c r="C425" s="30" t="s">
        <v>59</v>
      </c>
      <c r="D425" s="30" t="s">
        <v>590</v>
      </c>
      <c r="E425" s="30" t="n">
        <v>19</v>
      </c>
      <c r="F425" s="30"/>
      <c r="G425" s="30"/>
      <c r="H425" s="30" t="s">
        <v>596</v>
      </c>
      <c r="I425" s="30" t="s">
        <v>56</v>
      </c>
      <c r="J425" s="30"/>
      <c r="K425" s="30" t="s">
        <v>64</v>
      </c>
      <c r="L425" s="30" t="s">
        <v>65</v>
      </c>
      <c r="M425" s="30" t="n">
        <v>1963</v>
      </c>
      <c r="N425" s="30" t="s">
        <v>58</v>
      </c>
      <c r="O425" s="30" t="n">
        <v>5</v>
      </c>
      <c r="P425" s="30" t="n">
        <v>0</v>
      </c>
      <c r="Q425" s="30" t="n">
        <v>5</v>
      </c>
      <c r="R425" s="30" t="n">
        <v>100</v>
      </c>
      <c r="S425" s="30" t="n">
        <v>4148</v>
      </c>
      <c r="T425" s="30" t="n">
        <v>4148</v>
      </c>
      <c r="U425" s="30" t="n">
        <v>4148</v>
      </c>
      <c r="V425" s="30"/>
      <c r="W425" s="30" t="s">
        <v>53</v>
      </c>
      <c r="X425" s="30" t="s">
        <v>53</v>
      </c>
      <c r="Y425" s="30" t="s">
        <v>53</v>
      </c>
      <c r="Z425" s="30" t="s">
        <v>53</v>
      </c>
      <c r="AA425" s="30" t="s">
        <v>53</v>
      </c>
      <c r="AB425" s="30" t="s">
        <v>53</v>
      </c>
      <c r="AC425" s="30" t="s">
        <v>53</v>
      </c>
      <c r="AD425" s="30" t="s">
        <v>53</v>
      </c>
      <c r="AE425" s="30" t="s">
        <v>54</v>
      </c>
      <c r="AF425" s="30" t="n">
        <v>0</v>
      </c>
      <c r="AG425" s="30" t="n">
        <v>0</v>
      </c>
      <c r="AH425" s="30" t="n">
        <v>1</v>
      </c>
      <c r="AI425" s="30" t="n">
        <v>0</v>
      </c>
      <c r="AJ425" s="30" t="n">
        <v>1</v>
      </c>
      <c r="AK425" s="30" t="n">
        <v>0</v>
      </c>
      <c r="AL425" s="26"/>
    </row>
    <row collapsed="false" customFormat="false" customHeight="false" hidden="false" ht="14.5" outlineLevel="0" r="426">
      <c r="A426" s="30" t="n">
        <v>417</v>
      </c>
      <c r="B426" s="30" t="s">
        <v>45</v>
      </c>
      <c r="C426" s="30" t="s">
        <v>59</v>
      </c>
      <c r="D426" s="30" t="s">
        <v>590</v>
      </c>
      <c r="E426" s="30" t="n">
        <v>21</v>
      </c>
      <c r="F426" s="30"/>
      <c r="G426" s="30"/>
      <c r="H426" s="30" t="s">
        <v>597</v>
      </c>
      <c r="I426" s="30" t="s">
        <v>56</v>
      </c>
      <c r="J426" s="30"/>
      <c r="K426" s="30" t="s">
        <v>101</v>
      </c>
      <c r="L426" s="30" t="s">
        <v>65</v>
      </c>
      <c r="M426" s="30" t="n">
        <v>1971</v>
      </c>
      <c r="N426" s="30" t="s">
        <v>58</v>
      </c>
      <c r="O426" s="30" t="n">
        <v>9</v>
      </c>
      <c r="P426" s="30" t="n">
        <v>0</v>
      </c>
      <c r="Q426" s="30" t="n">
        <v>1</v>
      </c>
      <c r="R426" s="30" t="n">
        <v>45</v>
      </c>
      <c r="S426" s="30" t="n">
        <v>2003</v>
      </c>
      <c r="T426" s="30" t="n">
        <v>2003</v>
      </c>
      <c r="U426" s="30" t="n">
        <v>2003</v>
      </c>
      <c r="V426" s="30"/>
      <c r="W426" s="30" t="s">
        <v>53</v>
      </c>
      <c r="X426" s="30" t="s">
        <v>53</v>
      </c>
      <c r="Y426" s="30" t="s">
        <v>53</v>
      </c>
      <c r="Z426" s="30" t="s">
        <v>53</v>
      </c>
      <c r="AA426" s="30" t="s">
        <v>53</v>
      </c>
      <c r="AB426" s="30" t="s">
        <v>53</v>
      </c>
      <c r="AC426" s="30" t="s">
        <v>53</v>
      </c>
      <c r="AD426" s="30" t="s">
        <v>53</v>
      </c>
      <c r="AE426" s="30" t="s">
        <v>54</v>
      </c>
      <c r="AF426" s="30" t="n">
        <v>1</v>
      </c>
      <c r="AG426" s="30" t="n">
        <v>0</v>
      </c>
      <c r="AH426" s="30" t="n">
        <v>1</v>
      </c>
      <c r="AI426" s="30" t="n">
        <v>0</v>
      </c>
      <c r="AJ426" s="30" t="n">
        <v>1</v>
      </c>
      <c r="AK426" s="30" t="n">
        <v>0</v>
      </c>
      <c r="AL426" s="26"/>
    </row>
    <row collapsed="false" customFormat="false" customHeight="false" hidden="false" ht="14.5" outlineLevel="0" r="427">
      <c r="A427" s="30" t="n">
        <v>418</v>
      </c>
      <c r="B427" s="30" t="s">
        <v>45</v>
      </c>
      <c r="C427" s="30" t="s">
        <v>59</v>
      </c>
      <c r="D427" s="30" t="s">
        <v>590</v>
      </c>
      <c r="E427" s="30" t="n">
        <v>25</v>
      </c>
      <c r="F427" s="30"/>
      <c r="G427" s="30"/>
      <c r="H427" s="30" t="s">
        <v>598</v>
      </c>
      <c r="I427" s="30" t="s">
        <v>56</v>
      </c>
      <c r="J427" s="30"/>
      <c r="K427" s="30" t="s">
        <v>64</v>
      </c>
      <c r="L427" s="30" t="s">
        <v>65</v>
      </c>
      <c r="M427" s="30" t="n">
        <v>1965</v>
      </c>
      <c r="N427" s="30" t="s">
        <v>58</v>
      </c>
      <c r="O427" s="30" t="n">
        <v>5</v>
      </c>
      <c r="P427" s="30" t="n">
        <v>0</v>
      </c>
      <c r="Q427" s="30" t="n">
        <v>6</v>
      </c>
      <c r="R427" s="30" t="n">
        <v>120</v>
      </c>
      <c r="S427" s="30" t="n">
        <v>5322</v>
      </c>
      <c r="T427" s="30" t="n">
        <v>5322</v>
      </c>
      <c r="U427" s="30" t="n">
        <v>5322</v>
      </c>
      <c r="V427" s="30"/>
      <c r="W427" s="30" t="s">
        <v>53</v>
      </c>
      <c r="X427" s="30" t="s">
        <v>53</v>
      </c>
      <c r="Y427" s="30" t="s">
        <v>53</v>
      </c>
      <c r="Z427" s="30" t="s">
        <v>53</v>
      </c>
      <c r="AA427" s="30" t="s">
        <v>53</v>
      </c>
      <c r="AB427" s="30" t="s">
        <v>53</v>
      </c>
      <c r="AC427" s="30" t="s">
        <v>53</v>
      </c>
      <c r="AD427" s="30" t="s">
        <v>53</v>
      </c>
      <c r="AE427" s="30" t="s">
        <v>54</v>
      </c>
      <c r="AF427" s="30" t="n">
        <v>0</v>
      </c>
      <c r="AG427" s="30" t="n">
        <v>0</v>
      </c>
      <c r="AH427" s="30" t="n">
        <v>1</v>
      </c>
      <c r="AI427" s="30" t="n">
        <v>0</v>
      </c>
      <c r="AJ427" s="30" t="n">
        <v>1</v>
      </c>
      <c r="AK427" s="30" t="n">
        <v>0</v>
      </c>
      <c r="AL427" s="26"/>
    </row>
    <row collapsed="false" customFormat="false" customHeight="false" hidden="false" ht="14.5" outlineLevel="0" r="428">
      <c r="A428" s="30" t="n">
        <v>419</v>
      </c>
      <c r="B428" s="30" t="s">
        <v>45</v>
      </c>
      <c r="C428" s="30" t="s">
        <v>59</v>
      </c>
      <c r="D428" s="30" t="s">
        <v>590</v>
      </c>
      <c r="E428" s="30" t="n">
        <v>31</v>
      </c>
      <c r="F428" s="30"/>
      <c r="G428" s="30"/>
      <c r="H428" s="30" t="s">
        <v>599</v>
      </c>
      <c r="I428" s="30" t="s">
        <v>56</v>
      </c>
      <c r="J428" s="30"/>
      <c r="K428" s="30" t="s">
        <v>64</v>
      </c>
      <c r="L428" s="30" t="s">
        <v>65</v>
      </c>
      <c r="M428" s="30" t="n">
        <v>1965</v>
      </c>
      <c r="N428" s="30" t="s">
        <v>58</v>
      </c>
      <c r="O428" s="30" t="n">
        <v>5</v>
      </c>
      <c r="P428" s="30" t="n">
        <v>0</v>
      </c>
      <c r="Q428" s="30" t="n">
        <v>6</v>
      </c>
      <c r="R428" s="30" t="n">
        <v>120</v>
      </c>
      <c r="S428" s="30" t="n">
        <v>5323</v>
      </c>
      <c r="T428" s="30" t="n">
        <v>5323</v>
      </c>
      <c r="U428" s="30" t="n">
        <v>5323</v>
      </c>
      <c r="V428" s="30"/>
      <c r="W428" s="30" t="s">
        <v>53</v>
      </c>
      <c r="X428" s="30" t="s">
        <v>53</v>
      </c>
      <c r="Y428" s="30" t="s">
        <v>53</v>
      </c>
      <c r="Z428" s="30" t="s">
        <v>53</v>
      </c>
      <c r="AA428" s="30" t="s">
        <v>53</v>
      </c>
      <c r="AB428" s="30" t="s">
        <v>53</v>
      </c>
      <c r="AC428" s="30" t="s">
        <v>53</v>
      </c>
      <c r="AD428" s="30" t="s">
        <v>53</v>
      </c>
      <c r="AE428" s="30" t="s">
        <v>54</v>
      </c>
      <c r="AF428" s="30" t="n">
        <v>0</v>
      </c>
      <c r="AG428" s="30" t="n">
        <v>0</v>
      </c>
      <c r="AH428" s="30" t="n">
        <v>0</v>
      </c>
      <c r="AI428" s="30" t="n">
        <v>0</v>
      </c>
      <c r="AJ428" s="30" t="n">
        <v>1</v>
      </c>
      <c r="AK428" s="30" t="n">
        <v>0</v>
      </c>
      <c r="AL428" s="26"/>
    </row>
    <row collapsed="false" customFormat="false" customHeight="false" hidden="false" ht="14.5" outlineLevel="0" r="429">
      <c r="A429" s="30" t="n">
        <v>420</v>
      </c>
      <c r="B429" s="30" t="s">
        <v>45</v>
      </c>
      <c r="C429" s="30" t="s">
        <v>59</v>
      </c>
      <c r="D429" s="30" t="s">
        <v>590</v>
      </c>
      <c r="E429" s="30" t="n">
        <v>31</v>
      </c>
      <c r="F429" s="30" t="n">
        <v>1</v>
      </c>
      <c r="G429" s="30"/>
      <c r="H429" s="30" t="s">
        <v>600</v>
      </c>
      <c r="I429" s="30" t="s">
        <v>56</v>
      </c>
      <c r="J429" s="30"/>
      <c r="K429" s="30" t="s">
        <v>101</v>
      </c>
      <c r="L429" s="30" t="s">
        <v>65</v>
      </c>
      <c r="M429" s="30" t="n">
        <v>1974</v>
      </c>
      <c r="N429" s="30" t="s">
        <v>58</v>
      </c>
      <c r="O429" s="30" t="n">
        <v>5</v>
      </c>
      <c r="P429" s="30" t="n">
        <v>0</v>
      </c>
      <c r="Q429" s="30" t="n">
        <v>4</v>
      </c>
      <c r="R429" s="30" t="n">
        <v>80</v>
      </c>
      <c r="S429" s="30" t="n">
        <v>3455</v>
      </c>
      <c r="T429" s="30" t="n">
        <v>3455</v>
      </c>
      <c r="U429" s="30" t="n">
        <v>3455</v>
      </c>
      <c r="V429" s="30"/>
      <c r="W429" s="30" t="s">
        <v>53</v>
      </c>
      <c r="X429" s="30" t="s">
        <v>53</v>
      </c>
      <c r="Y429" s="30" t="s">
        <v>53</v>
      </c>
      <c r="Z429" s="30" t="s">
        <v>53</v>
      </c>
      <c r="AA429" s="30" t="s">
        <v>53</v>
      </c>
      <c r="AB429" s="30" t="s">
        <v>53</v>
      </c>
      <c r="AC429" s="30" t="s">
        <v>53</v>
      </c>
      <c r="AD429" s="30" t="s">
        <v>53</v>
      </c>
      <c r="AE429" s="30" t="s">
        <v>54</v>
      </c>
      <c r="AF429" s="30" t="n">
        <v>0</v>
      </c>
      <c r="AG429" s="30" t="n">
        <v>0</v>
      </c>
      <c r="AH429" s="30" t="n">
        <v>1</v>
      </c>
      <c r="AI429" s="30" t="n">
        <v>0</v>
      </c>
      <c r="AJ429" s="30" t="n">
        <v>1</v>
      </c>
      <c r="AK429" s="30" t="n">
        <v>0</v>
      </c>
      <c r="AL429" s="26"/>
    </row>
    <row collapsed="false" customFormat="false" customHeight="false" hidden="false" ht="14.5" outlineLevel="0" r="430">
      <c r="A430" s="30" t="n">
        <v>421</v>
      </c>
      <c r="B430" s="30" t="s">
        <v>45</v>
      </c>
      <c r="C430" s="30" t="s">
        <v>59</v>
      </c>
      <c r="D430" s="30" t="s">
        <v>590</v>
      </c>
      <c r="E430" s="30" t="n">
        <v>33</v>
      </c>
      <c r="F430" s="30"/>
      <c r="G430" s="30"/>
      <c r="H430" s="30" t="s">
        <v>601</v>
      </c>
      <c r="I430" s="30" t="s">
        <v>56</v>
      </c>
      <c r="J430" s="30"/>
      <c r="K430" s="30" t="s">
        <v>64</v>
      </c>
      <c r="L430" s="30" t="s">
        <v>65</v>
      </c>
      <c r="M430" s="30" t="n">
        <v>1965</v>
      </c>
      <c r="N430" s="30" t="s">
        <v>58</v>
      </c>
      <c r="O430" s="30" t="n">
        <v>5</v>
      </c>
      <c r="P430" s="30" t="n">
        <v>0</v>
      </c>
      <c r="Q430" s="30" t="n">
        <v>6</v>
      </c>
      <c r="R430" s="30" t="n">
        <v>121</v>
      </c>
      <c r="S430" s="30" t="n">
        <v>5315</v>
      </c>
      <c r="T430" s="30" t="n">
        <v>5315</v>
      </c>
      <c r="U430" s="30" t="n">
        <v>5315</v>
      </c>
      <c r="V430" s="30"/>
      <c r="W430" s="30" t="s">
        <v>53</v>
      </c>
      <c r="X430" s="30" t="s">
        <v>53</v>
      </c>
      <c r="Y430" s="30" t="s">
        <v>53</v>
      </c>
      <c r="Z430" s="30" t="s">
        <v>53</v>
      </c>
      <c r="AA430" s="30" t="s">
        <v>53</v>
      </c>
      <c r="AB430" s="30" t="s">
        <v>53</v>
      </c>
      <c r="AC430" s="30" t="s">
        <v>53</v>
      </c>
      <c r="AD430" s="30" t="s">
        <v>53</v>
      </c>
      <c r="AE430" s="30" t="s">
        <v>54</v>
      </c>
      <c r="AF430" s="30" t="n">
        <v>0</v>
      </c>
      <c r="AG430" s="30" t="n">
        <v>0</v>
      </c>
      <c r="AH430" s="30" t="n">
        <v>1</v>
      </c>
      <c r="AI430" s="30" t="n">
        <v>0</v>
      </c>
      <c r="AJ430" s="30" t="n">
        <v>1</v>
      </c>
      <c r="AK430" s="30" t="n">
        <v>0</v>
      </c>
      <c r="AL430" s="26"/>
    </row>
    <row collapsed="false" customFormat="false" customHeight="false" hidden="false" ht="14.5" outlineLevel="0" r="431">
      <c r="A431" s="30" t="n">
        <v>422</v>
      </c>
      <c r="B431" s="30" t="s">
        <v>45</v>
      </c>
      <c r="C431" s="30" t="s">
        <v>59</v>
      </c>
      <c r="D431" s="30" t="s">
        <v>590</v>
      </c>
      <c r="E431" s="30" t="n">
        <v>39</v>
      </c>
      <c r="F431" s="30"/>
      <c r="G431" s="30"/>
      <c r="H431" s="30" t="s">
        <v>602</v>
      </c>
      <c r="I431" s="30" t="s">
        <v>56</v>
      </c>
      <c r="J431" s="30"/>
      <c r="K431" s="30" t="s">
        <v>64</v>
      </c>
      <c r="L431" s="30" t="s">
        <v>65</v>
      </c>
      <c r="M431" s="30" t="n">
        <v>1966</v>
      </c>
      <c r="N431" s="30" t="s">
        <v>58</v>
      </c>
      <c r="O431" s="30" t="n">
        <v>5</v>
      </c>
      <c r="P431" s="30" t="n">
        <v>0</v>
      </c>
      <c r="Q431" s="30" t="n">
        <v>4</v>
      </c>
      <c r="R431" s="30" t="n">
        <v>80</v>
      </c>
      <c r="S431" s="30" t="n">
        <v>3483</v>
      </c>
      <c r="T431" s="30" t="n">
        <v>3483</v>
      </c>
      <c r="U431" s="30" t="n">
        <v>3483</v>
      </c>
      <c r="V431" s="30"/>
      <c r="W431" s="30" t="s">
        <v>53</v>
      </c>
      <c r="X431" s="30" t="s">
        <v>53</v>
      </c>
      <c r="Y431" s="30" t="s">
        <v>53</v>
      </c>
      <c r="Z431" s="30" t="s">
        <v>53</v>
      </c>
      <c r="AA431" s="30" t="s">
        <v>53</v>
      </c>
      <c r="AB431" s="30" t="s">
        <v>53</v>
      </c>
      <c r="AC431" s="30" t="s">
        <v>53</v>
      </c>
      <c r="AD431" s="30" t="s">
        <v>53</v>
      </c>
      <c r="AE431" s="30" t="s">
        <v>54</v>
      </c>
      <c r="AF431" s="30" t="n">
        <v>0</v>
      </c>
      <c r="AG431" s="30" t="n">
        <v>0</v>
      </c>
      <c r="AH431" s="30" t="n">
        <v>1</v>
      </c>
      <c r="AI431" s="30" t="n">
        <v>0</v>
      </c>
      <c r="AJ431" s="30" t="n">
        <v>1</v>
      </c>
      <c r="AK431" s="30" t="n">
        <v>0</v>
      </c>
      <c r="AL431" s="26"/>
    </row>
    <row collapsed="false" customFormat="false" customHeight="false" hidden="false" ht="14.5" outlineLevel="0" r="432">
      <c r="A432" s="30" t="n">
        <v>423</v>
      </c>
      <c r="B432" s="30" t="s">
        <v>45</v>
      </c>
      <c r="C432" s="30" t="s">
        <v>59</v>
      </c>
      <c r="D432" s="30" t="s">
        <v>603</v>
      </c>
      <c r="E432" s="30" t="n">
        <v>2</v>
      </c>
      <c r="F432" s="30"/>
      <c r="G432" s="30"/>
      <c r="H432" s="30" t="s">
        <v>604</v>
      </c>
      <c r="I432" s="30" t="s">
        <v>56</v>
      </c>
      <c r="J432" s="30"/>
      <c r="K432" s="30" t="s">
        <v>64</v>
      </c>
      <c r="L432" s="30" t="s">
        <v>57</v>
      </c>
      <c r="M432" s="30" t="n">
        <v>1972</v>
      </c>
      <c r="N432" s="30" t="s">
        <v>58</v>
      </c>
      <c r="O432" s="30" t="n">
        <v>5</v>
      </c>
      <c r="P432" s="30" t="n">
        <v>0</v>
      </c>
      <c r="Q432" s="30" t="n">
        <v>4</v>
      </c>
      <c r="R432" s="30" t="n">
        <v>80</v>
      </c>
      <c r="S432" s="30" t="n">
        <v>3451</v>
      </c>
      <c r="T432" s="30" t="n">
        <v>3451</v>
      </c>
      <c r="U432" s="30" t="n">
        <v>3451</v>
      </c>
      <c r="V432" s="30"/>
      <c r="W432" s="30" t="s">
        <v>53</v>
      </c>
      <c r="X432" s="30" t="s">
        <v>53</v>
      </c>
      <c r="Y432" s="30" t="s">
        <v>53</v>
      </c>
      <c r="Z432" s="30" t="s">
        <v>53</v>
      </c>
      <c r="AA432" s="30" t="s">
        <v>53</v>
      </c>
      <c r="AB432" s="30" t="s">
        <v>53</v>
      </c>
      <c r="AC432" s="30" t="s">
        <v>54</v>
      </c>
      <c r="AD432" s="30" t="s">
        <v>53</v>
      </c>
      <c r="AE432" s="30" t="s">
        <v>54</v>
      </c>
      <c r="AF432" s="30" t="n">
        <v>0</v>
      </c>
      <c r="AG432" s="30" t="n">
        <v>0</v>
      </c>
      <c r="AH432" s="30" t="n">
        <v>1</v>
      </c>
      <c r="AI432" s="30" t="n">
        <v>0</v>
      </c>
      <c r="AJ432" s="30" t="n">
        <v>1</v>
      </c>
      <c r="AK432" s="30" t="n">
        <v>0</v>
      </c>
      <c r="AL432" s="26"/>
    </row>
    <row collapsed="false" customFormat="false" customHeight="false" hidden="false" ht="14.5" outlineLevel="0" r="433">
      <c r="A433" s="30" t="n">
        <v>424</v>
      </c>
      <c r="B433" s="30" t="s">
        <v>45</v>
      </c>
      <c r="C433" s="30" t="s">
        <v>59</v>
      </c>
      <c r="D433" s="30" t="s">
        <v>603</v>
      </c>
      <c r="E433" s="30" t="n">
        <v>3</v>
      </c>
      <c r="F433" s="30"/>
      <c r="G433" s="30"/>
      <c r="H433" s="30" t="s">
        <v>605</v>
      </c>
      <c r="I433" s="30" t="s">
        <v>56</v>
      </c>
      <c r="J433" s="30"/>
      <c r="K433" s="30" t="s">
        <v>64</v>
      </c>
      <c r="L433" s="30" t="s">
        <v>57</v>
      </c>
      <c r="M433" s="30" t="n">
        <v>1970</v>
      </c>
      <c r="N433" s="30" t="s">
        <v>58</v>
      </c>
      <c r="O433" s="30" t="n">
        <v>5</v>
      </c>
      <c r="P433" s="30" t="n">
        <v>0</v>
      </c>
      <c r="Q433" s="30" t="n">
        <v>4</v>
      </c>
      <c r="R433" s="30" t="n">
        <v>80</v>
      </c>
      <c r="S433" s="30" t="n">
        <v>3517</v>
      </c>
      <c r="T433" s="30" t="n">
        <v>3517</v>
      </c>
      <c r="U433" s="30" t="n">
        <v>3517</v>
      </c>
      <c r="V433" s="30"/>
      <c r="W433" s="30" t="s">
        <v>53</v>
      </c>
      <c r="X433" s="30" t="s">
        <v>53</v>
      </c>
      <c r="Y433" s="30" t="s">
        <v>53</v>
      </c>
      <c r="Z433" s="30" t="s">
        <v>53</v>
      </c>
      <c r="AA433" s="30" t="s">
        <v>53</v>
      </c>
      <c r="AB433" s="30" t="s">
        <v>53</v>
      </c>
      <c r="AC433" s="30" t="s">
        <v>53</v>
      </c>
      <c r="AD433" s="30" t="s">
        <v>53</v>
      </c>
      <c r="AE433" s="30" t="s">
        <v>54</v>
      </c>
      <c r="AF433" s="30" t="n">
        <v>0</v>
      </c>
      <c r="AG433" s="30" t="n">
        <v>0</v>
      </c>
      <c r="AH433" s="30" t="n">
        <v>1</v>
      </c>
      <c r="AI433" s="30" t="n">
        <v>0</v>
      </c>
      <c r="AJ433" s="30" t="n">
        <v>1</v>
      </c>
      <c r="AK433" s="30" t="n">
        <v>0</v>
      </c>
      <c r="AL433" s="26"/>
    </row>
    <row collapsed="false" customFormat="false" customHeight="false" hidden="false" ht="14.5" outlineLevel="0" r="434">
      <c r="A434" s="30" t="n">
        <v>425</v>
      </c>
      <c r="B434" s="30" t="s">
        <v>45</v>
      </c>
      <c r="C434" s="30" t="s">
        <v>59</v>
      </c>
      <c r="D434" s="30" t="s">
        <v>603</v>
      </c>
      <c r="E434" s="30" t="n">
        <v>4</v>
      </c>
      <c r="F434" s="30"/>
      <c r="G434" s="30"/>
      <c r="H434" s="30" t="s">
        <v>606</v>
      </c>
      <c r="I434" s="30" t="s">
        <v>56</v>
      </c>
      <c r="J434" s="30"/>
      <c r="K434" s="30" t="s">
        <v>64</v>
      </c>
      <c r="L434" s="30" t="s">
        <v>57</v>
      </c>
      <c r="M434" s="30" t="n">
        <v>1967</v>
      </c>
      <c r="N434" s="30" t="s">
        <v>58</v>
      </c>
      <c r="O434" s="30" t="n">
        <v>5</v>
      </c>
      <c r="P434" s="30" t="n">
        <v>0</v>
      </c>
      <c r="Q434" s="30" t="n">
        <v>4</v>
      </c>
      <c r="R434" s="30" t="n">
        <v>64</v>
      </c>
      <c r="S434" s="30" t="n">
        <v>4423.9</v>
      </c>
      <c r="T434" s="30" t="n">
        <v>4423.9</v>
      </c>
      <c r="U434" s="30" t="n">
        <v>3753</v>
      </c>
      <c r="V434" s="30" t="n">
        <v>670.9</v>
      </c>
      <c r="W434" s="30" t="s">
        <v>53</v>
      </c>
      <c r="X434" s="30" t="s">
        <v>53</v>
      </c>
      <c r="Y434" s="30" t="s">
        <v>53</v>
      </c>
      <c r="Z434" s="30" t="s">
        <v>53</v>
      </c>
      <c r="AA434" s="30" t="s">
        <v>53</v>
      </c>
      <c r="AB434" s="30" t="s">
        <v>53</v>
      </c>
      <c r="AC434" s="30" t="s">
        <v>54</v>
      </c>
      <c r="AD434" s="30" t="s">
        <v>53</v>
      </c>
      <c r="AE434" s="30" t="s">
        <v>54</v>
      </c>
      <c r="AF434" s="30" t="n">
        <v>0</v>
      </c>
      <c r="AG434" s="30" t="n">
        <v>0</v>
      </c>
      <c r="AH434" s="30" t="n">
        <v>1</v>
      </c>
      <c r="AI434" s="30" t="n">
        <v>0</v>
      </c>
      <c r="AJ434" s="30" t="n">
        <v>1</v>
      </c>
      <c r="AK434" s="30" t="n">
        <v>0</v>
      </c>
      <c r="AL434" s="26"/>
    </row>
    <row collapsed="false" customFormat="false" customHeight="false" hidden="false" ht="14.5" outlineLevel="0" r="435">
      <c r="A435" s="30" t="n">
        <v>426</v>
      </c>
      <c r="B435" s="30" t="s">
        <v>45</v>
      </c>
      <c r="C435" s="30" t="s">
        <v>59</v>
      </c>
      <c r="D435" s="30" t="s">
        <v>603</v>
      </c>
      <c r="E435" s="30" t="n">
        <v>5</v>
      </c>
      <c r="F435" s="30"/>
      <c r="G435" s="30"/>
      <c r="H435" s="30" t="s">
        <v>607</v>
      </c>
      <c r="I435" s="30" t="s">
        <v>56</v>
      </c>
      <c r="J435" s="30"/>
      <c r="K435" s="30" t="s">
        <v>64</v>
      </c>
      <c r="L435" s="30" t="s">
        <v>57</v>
      </c>
      <c r="M435" s="30" t="n">
        <v>1960</v>
      </c>
      <c r="N435" s="30" t="s">
        <v>58</v>
      </c>
      <c r="O435" s="30" t="n">
        <v>4</v>
      </c>
      <c r="P435" s="30" t="n">
        <v>0</v>
      </c>
      <c r="Q435" s="30" t="n">
        <v>3</v>
      </c>
      <c r="R435" s="30" t="n">
        <v>48</v>
      </c>
      <c r="S435" s="30" t="n">
        <v>2028</v>
      </c>
      <c r="T435" s="30" t="n">
        <v>2028</v>
      </c>
      <c r="U435" s="30" t="n">
        <v>2028</v>
      </c>
      <c r="V435" s="30"/>
      <c r="W435" s="30" t="s">
        <v>53</v>
      </c>
      <c r="X435" s="30" t="s">
        <v>53</v>
      </c>
      <c r="Y435" s="30" t="s">
        <v>53</v>
      </c>
      <c r="Z435" s="30" t="s">
        <v>53</v>
      </c>
      <c r="AA435" s="30" t="s">
        <v>53</v>
      </c>
      <c r="AB435" s="30" t="s">
        <v>53</v>
      </c>
      <c r="AC435" s="30" t="s">
        <v>54</v>
      </c>
      <c r="AD435" s="30" t="s">
        <v>53</v>
      </c>
      <c r="AE435" s="30" t="s">
        <v>54</v>
      </c>
      <c r="AF435" s="30" t="n">
        <v>0</v>
      </c>
      <c r="AG435" s="30" t="n">
        <v>0</v>
      </c>
      <c r="AH435" s="30" t="n">
        <v>1</v>
      </c>
      <c r="AI435" s="30" t="n">
        <v>0</v>
      </c>
      <c r="AJ435" s="30" t="n">
        <v>1</v>
      </c>
      <c r="AK435" s="30" t="n">
        <v>0</v>
      </c>
      <c r="AL435" s="26"/>
    </row>
    <row collapsed="false" customFormat="false" customHeight="false" hidden="false" ht="14.5" outlineLevel="0" r="436">
      <c r="A436" s="30" t="n">
        <v>427</v>
      </c>
      <c r="B436" s="30" t="s">
        <v>45</v>
      </c>
      <c r="C436" s="30" t="s">
        <v>59</v>
      </c>
      <c r="D436" s="30" t="s">
        <v>603</v>
      </c>
      <c r="E436" s="30" t="n">
        <v>6</v>
      </c>
      <c r="F436" s="30"/>
      <c r="G436" s="30"/>
      <c r="H436" s="30" t="s">
        <v>608</v>
      </c>
      <c r="I436" s="30" t="s">
        <v>56</v>
      </c>
      <c r="J436" s="30"/>
      <c r="K436" s="30" t="s">
        <v>64</v>
      </c>
      <c r="L436" s="30" t="s">
        <v>57</v>
      </c>
      <c r="M436" s="30" t="n">
        <v>1962</v>
      </c>
      <c r="N436" s="30" t="s">
        <v>58</v>
      </c>
      <c r="O436" s="30" t="n">
        <v>4</v>
      </c>
      <c r="P436" s="30" t="n">
        <v>0</v>
      </c>
      <c r="Q436" s="30" t="n">
        <v>3</v>
      </c>
      <c r="R436" s="30" t="n">
        <v>48</v>
      </c>
      <c r="S436" s="30" t="n">
        <v>2023</v>
      </c>
      <c r="T436" s="30" t="n">
        <v>2023</v>
      </c>
      <c r="U436" s="30" t="n">
        <v>2023</v>
      </c>
      <c r="V436" s="30"/>
      <c r="W436" s="30" t="s">
        <v>53</v>
      </c>
      <c r="X436" s="30" t="s">
        <v>53</v>
      </c>
      <c r="Y436" s="30" t="s">
        <v>53</v>
      </c>
      <c r="Z436" s="30" t="s">
        <v>53</v>
      </c>
      <c r="AA436" s="30" t="s">
        <v>53</v>
      </c>
      <c r="AB436" s="30" t="s">
        <v>53</v>
      </c>
      <c r="AC436" s="30" t="s">
        <v>54</v>
      </c>
      <c r="AD436" s="30" t="s">
        <v>53</v>
      </c>
      <c r="AE436" s="30" t="s">
        <v>54</v>
      </c>
      <c r="AF436" s="30" t="n">
        <v>0</v>
      </c>
      <c r="AG436" s="30" t="n">
        <v>0</v>
      </c>
      <c r="AH436" s="30" t="n">
        <v>1</v>
      </c>
      <c r="AI436" s="30" t="n">
        <v>0</v>
      </c>
      <c r="AJ436" s="30" t="n">
        <v>1</v>
      </c>
      <c r="AK436" s="30" t="n">
        <v>0</v>
      </c>
      <c r="AL436" s="26"/>
    </row>
    <row collapsed="false" customFormat="false" customHeight="false" hidden="false" ht="14.5" outlineLevel="0" r="437">
      <c r="A437" s="30" t="n">
        <v>428</v>
      </c>
      <c r="B437" s="30" t="s">
        <v>45</v>
      </c>
      <c r="C437" s="30" t="s">
        <v>59</v>
      </c>
      <c r="D437" s="30" t="s">
        <v>603</v>
      </c>
      <c r="E437" s="30" t="n">
        <v>7</v>
      </c>
      <c r="F437" s="30"/>
      <c r="G437" s="30"/>
      <c r="H437" s="30" t="s">
        <v>609</v>
      </c>
      <c r="I437" s="30" t="s">
        <v>56</v>
      </c>
      <c r="J437" s="30"/>
      <c r="K437" s="30" t="s">
        <v>64</v>
      </c>
      <c r="L437" s="30" t="s">
        <v>57</v>
      </c>
      <c r="M437" s="30" t="n">
        <v>1958</v>
      </c>
      <c r="N437" s="30" t="s">
        <v>58</v>
      </c>
      <c r="O437" s="30" t="n">
        <v>4</v>
      </c>
      <c r="P437" s="30" t="n">
        <v>0</v>
      </c>
      <c r="Q437" s="30" t="n">
        <v>4</v>
      </c>
      <c r="R437" s="30" t="n">
        <v>41</v>
      </c>
      <c r="S437" s="30" t="n">
        <v>3549.1</v>
      </c>
      <c r="T437" s="30" t="n">
        <v>3549.1</v>
      </c>
      <c r="U437" s="30" t="n">
        <v>3241</v>
      </c>
      <c r="V437" s="30" t="n">
        <v>308.1</v>
      </c>
      <c r="W437" s="30" t="s">
        <v>53</v>
      </c>
      <c r="X437" s="30" t="s">
        <v>53</v>
      </c>
      <c r="Y437" s="30" t="s">
        <v>53</v>
      </c>
      <c r="Z437" s="30" t="s">
        <v>53</v>
      </c>
      <c r="AA437" s="30" t="s">
        <v>53</v>
      </c>
      <c r="AB437" s="30" t="s">
        <v>53</v>
      </c>
      <c r="AC437" s="30" t="s">
        <v>54</v>
      </c>
      <c r="AD437" s="30" t="s">
        <v>53</v>
      </c>
      <c r="AE437" s="30" t="s">
        <v>54</v>
      </c>
      <c r="AF437" s="30" t="n">
        <v>0</v>
      </c>
      <c r="AG437" s="30" t="n">
        <v>1</v>
      </c>
      <c r="AH437" s="30" t="n">
        <v>1</v>
      </c>
      <c r="AI437" s="30" t="n">
        <v>0</v>
      </c>
      <c r="AJ437" s="30" t="n">
        <v>1</v>
      </c>
      <c r="AK437" s="30" t="n">
        <v>0</v>
      </c>
      <c r="AL437" s="26"/>
    </row>
    <row collapsed="false" customFormat="false" customHeight="false" hidden="false" ht="14.5" outlineLevel="0" r="438">
      <c r="A438" s="30" t="n">
        <v>429</v>
      </c>
      <c r="B438" s="30" t="s">
        <v>45</v>
      </c>
      <c r="C438" s="30" t="s">
        <v>59</v>
      </c>
      <c r="D438" s="30" t="s">
        <v>603</v>
      </c>
      <c r="E438" s="30" t="n">
        <v>10</v>
      </c>
      <c r="F438" s="30"/>
      <c r="G438" s="30"/>
      <c r="H438" s="30" t="s">
        <v>610</v>
      </c>
      <c r="I438" s="30" t="s">
        <v>56</v>
      </c>
      <c r="J438" s="30"/>
      <c r="K438" s="30" t="s">
        <v>101</v>
      </c>
      <c r="L438" s="30"/>
      <c r="M438" s="30" t="n">
        <v>1977</v>
      </c>
      <c r="N438" s="30" t="s">
        <v>58</v>
      </c>
      <c r="O438" s="30" t="n">
        <v>5</v>
      </c>
      <c r="P438" s="30" t="n">
        <v>0</v>
      </c>
      <c r="Q438" s="30" t="n">
        <v>7</v>
      </c>
      <c r="R438" s="30" t="n">
        <v>106</v>
      </c>
      <c r="S438" s="30" t="n">
        <v>5798.3</v>
      </c>
      <c r="T438" s="30" t="n">
        <v>5798.3</v>
      </c>
      <c r="U438" s="30" t="n">
        <v>4740</v>
      </c>
      <c r="V438" s="30" t="n">
        <v>1058.3</v>
      </c>
      <c r="W438" s="30" t="s">
        <v>53</v>
      </c>
      <c r="X438" s="30" t="s">
        <v>53</v>
      </c>
      <c r="Y438" s="30" t="s">
        <v>53</v>
      </c>
      <c r="Z438" s="30" t="s">
        <v>53</v>
      </c>
      <c r="AA438" s="30" t="s">
        <v>53</v>
      </c>
      <c r="AB438" s="30" t="s">
        <v>53</v>
      </c>
      <c r="AC438" s="30" t="s">
        <v>54</v>
      </c>
      <c r="AD438" s="30" t="s">
        <v>53</v>
      </c>
      <c r="AE438" s="30" t="s">
        <v>54</v>
      </c>
      <c r="AF438" s="30" t="n">
        <v>0</v>
      </c>
      <c r="AG438" s="30" t="n">
        <v>0</v>
      </c>
      <c r="AH438" s="30" t="n">
        <v>1</v>
      </c>
      <c r="AI438" s="30" t="n">
        <v>0</v>
      </c>
      <c r="AJ438" s="30" t="n">
        <v>1</v>
      </c>
      <c r="AK438" s="30" t="n">
        <v>0</v>
      </c>
      <c r="AL438" s="26"/>
    </row>
    <row collapsed="false" customFormat="false" customHeight="false" hidden="false" ht="14.5" outlineLevel="0" r="439">
      <c r="A439" s="30" t="n">
        <v>430</v>
      </c>
      <c r="B439" s="30" t="s">
        <v>45</v>
      </c>
      <c r="C439" s="30" t="s">
        <v>59</v>
      </c>
      <c r="D439" s="30" t="s">
        <v>603</v>
      </c>
      <c r="E439" s="30" t="n">
        <v>11</v>
      </c>
      <c r="F439" s="30"/>
      <c r="G439" s="30"/>
      <c r="H439" s="30" t="s">
        <v>611</v>
      </c>
      <c r="I439" s="30" t="s">
        <v>56</v>
      </c>
      <c r="J439" s="30"/>
      <c r="K439" s="30" t="s">
        <v>101</v>
      </c>
      <c r="L439" s="30"/>
      <c r="M439" s="30" t="n">
        <v>1982</v>
      </c>
      <c r="N439" s="30" t="s">
        <v>58</v>
      </c>
      <c r="O439" s="30" t="n">
        <v>5</v>
      </c>
      <c r="P439" s="30" t="n">
        <v>0</v>
      </c>
      <c r="Q439" s="30" t="n">
        <v>7</v>
      </c>
      <c r="R439" s="30" t="n">
        <v>104</v>
      </c>
      <c r="S439" s="30" t="n">
        <v>5494</v>
      </c>
      <c r="T439" s="30" t="n">
        <v>5494</v>
      </c>
      <c r="U439" s="30" t="n">
        <v>5494</v>
      </c>
      <c r="V439" s="30"/>
      <c r="W439" s="30" t="s">
        <v>53</v>
      </c>
      <c r="X439" s="30" t="s">
        <v>53</v>
      </c>
      <c r="Y439" s="30" t="s">
        <v>53</v>
      </c>
      <c r="Z439" s="30" t="s">
        <v>53</v>
      </c>
      <c r="AA439" s="30" t="s">
        <v>53</v>
      </c>
      <c r="AB439" s="30" t="s">
        <v>53</v>
      </c>
      <c r="AC439" s="30" t="s">
        <v>54</v>
      </c>
      <c r="AD439" s="30" t="s">
        <v>53</v>
      </c>
      <c r="AE439" s="30" t="s">
        <v>54</v>
      </c>
      <c r="AF439" s="30" t="n">
        <v>0</v>
      </c>
      <c r="AG439" s="30" t="n">
        <v>0</v>
      </c>
      <c r="AH439" s="30" t="n">
        <v>1</v>
      </c>
      <c r="AI439" s="30" t="n">
        <v>0</v>
      </c>
      <c r="AJ439" s="30" t="n">
        <v>1</v>
      </c>
      <c r="AK439" s="30" t="n">
        <v>0</v>
      </c>
      <c r="AL439" s="26"/>
    </row>
    <row collapsed="false" customFormat="false" customHeight="false" hidden="false" ht="14.5" outlineLevel="0" r="440">
      <c r="A440" s="30" t="n">
        <v>431</v>
      </c>
      <c r="B440" s="30" t="s">
        <v>45</v>
      </c>
      <c r="C440" s="30" t="s">
        <v>59</v>
      </c>
      <c r="D440" s="30" t="s">
        <v>603</v>
      </c>
      <c r="E440" s="30" t="n">
        <v>12</v>
      </c>
      <c r="F440" s="30"/>
      <c r="G440" s="30"/>
      <c r="H440" s="30" t="s">
        <v>612</v>
      </c>
      <c r="I440" s="30" t="s">
        <v>56</v>
      </c>
      <c r="J440" s="30"/>
      <c r="K440" s="30" t="s">
        <v>101</v>
      </c>
      <c r="L440" s="30" t="s">
        <v>57</v>
      </c>
      <c r="M440" s="30" t="n">
        <v>1985</v>
      </c>
      <c r="N440" s="30" t="s">
        <v>58</v>
      </c>
      <c r="O440" s="30" t="n">
        <v>5</v>
      </c>
      <c r="P440" s="30" t="n">
        <v>0</v>
      </c>
      <c r="Q440" s="30" t="n">
        <v>4</v>
      </c>
      <c r="R440" s="30" t="n">
        <v>60</v>
      </c>
      <c r="S440" s="30" t="n">
        <v>2984</v>
      </c>
      <c r="T440" s="30" t="n">
        <v>2984</v>
      </c>
      <c r="U440" s="30" t="n">
        <v>2984</v>
      </c>
      <c r="V440" s="30"/>
      <c r="W440" s="30" t="s">
        <v>53</v>
      </c>
      <c r="X440" s="30" t="s">
        <v>53</v>
      </c>
      <c r="Y440" s="30" t="s">
        <v>53</v>
      </c>
      <c r="Z440" s="30" t="s">
        <v>53</v>
      </c>
      <c r="AA440" s="30" t="s">
        <v>53</v>
      </c>
      <c r="AB440" s="30" t="s">
        <v>53</v>
      </c>
      <c r="AC440" s="30" t="s">
        <v>54</v>
      </c>
      <c r="AD440" s="30" t="s">
        <v>53</v>
      </c>
      <c r="AE440" s="30" t="s">
        <v>54</v>
      </c>
      <c r="AF440" s="30" t="n">
        <v>0</v>
      </c>
      <c r="AG440" s="30" t="n">
        <v>0</v>
      </c>
      <c r="AH440" s="30" t="n">
        <v>1</v>
      </c>
      <c r="AI440" s="30" t="n">
        <v>0</v>
      </c>
      <c r="AJ440" s="30" t="n">
        <v>1</v>
      </c>
      <c r="AK440" s="30" t="n">
        <v>0</v>
      </c>
      <c r="AL440" s="26"/>
    </row>
    <row collapsed="false" customFormat="false" customHeight="false" hidden="false" ht="14.5" outlineLevel="0" r="441">
      <c r="A441" s="30" t="n">
        <v>432</v>
      </c>
      <c r="B441" s="30" t="s">
        <v>45</v>
      </c>
      <c r="C441" s="30" t="s">
        <v>59</v>
      </c>
      <c r="D441" s="30" t="s">
        <v>603</v>
      </c>
      <c r="E441" s="30" t="n">
        <v>13</v>
      </c>
      <c r="F441" s="30"/>
      <c r="G441" s="30"/>
      <c r="H441" s="30" t="s">
        <v>613</v>
      </c>
      <c r="I441" s="30" t="s">
        <v>56</v>
      </c>
      <c r="J441" s="30"/>
      <c r="K441" s="30" t="s">
        <v>138</v>
      </c>
      <c r="L441" s="30" t="s">
        <v>57</v>
      </c>
      <c r="M441" s="30" t="n">
        <v>1993</v>
      </c>
      <c r="N441" s="30" t="s">
        <v>108</v>
      </c>
      <c r="O441" s="30" t="n">
        <v>5</v>
      </c>
      <c r="P441" s="30" t="n">
        <v>0</v>
      </c>
      <c r="Q441" s="30" t="n">
        <v>7</v>
      </c>
      <c r="R441" s="30" t="n">
        <v>139</v>
      </c>
      <c r="S441" s="30" t="n">
        <v>8358</v>
      </c>
      <c r="T441" s="30" t="n">
        <v>8358</v>
      </c>
      <c r="U441" s="30" t="n">
        <v>8358</v>
      </c>
      <c r="V441" s="30"/>
      <c r="W441" s="30" t="s">
        <v>53</v>
      </c>
      <c r="X441" s="30" t="s">
        <v>53</v>
      </c>
      <c r="Y441" s="30" t="s">
        <v>53</v>
      </c>
      <c r="Z441" s="30" t="s">
        <v>53</v>
      </c>
      <c r="AA441" s="30" t="s">
        <v>53</v>
      </c>
      <c r="AB441" s="30" t="s">
        <v>53</v>
      </c>
      <c r="AC441" s="30" t="s">
        <v>54</v>
      </c>
      <c r="AD441" s="30" t="s">
        <v>53</v>
      </c>
      <c r="AE441" s="30" t="s">
        <v>54</v>
      </c>
      <c r="AF441" s="30" t="n">
        <v>0</v>
      </c>
      <c r="AG441" s="30" t="n">
        <v>0</v>
      </c>
      <c r="AH441" s="30" t="n">
        <v>2</v>
      </c>
      <c r="AI441" s="30" t="n">
        <v>0</v>
      </c>
      <c r="AJ441" s="30" t="n">
        <v>2</v>
      </c>
      <c r="AK441" s="30" t="n">
        <v>0</v>
      </c>
      <c r="AL441" s="26"/>
    </row>
    <row collapsed="false" customFormat="false" customHeight="false" hidden="false" ht="14.5" outlineLevel="0" r="442">
      <c r="A442" s="30" t="n">
        <v>433</v>
      </c>
      <c r="B442" s="30" t="s">
        <v>45</v>
      </c>
      <c r="C442" s="30" t="s">
        <v>46</v>
      </c>
      <c r="D442" s="30" t="s">
        <v>614</v>
      </c>
      <c r="E442" s="30" t="n">
        <v>12</v>
      </c>
      <c r="F442" s="30"/>
      <c r="G442" s="30"/>
      <c r="H442" s="30" t="s">
        <v>615</v>
      </c>
      <c r="I442" s="30" t="s">
        <v>56</v>
      </c>
      <c r="J442" s="30"/>
      <c r="K442" s="30" t="s">
        <v>57</v>
      </c>
      <c r="L442" s="30" t="s">
        <v>51</v>
      </c>
      <c r="M442" s="30" t="n">
        <v>1917</v>
      </c>
      <c r="N442" s="30" t="s">
        <v>58</v>
      </c>
      <c r="O442" s="30" t="n">
        <v>4</v>
      </c>
      <c r="P442" s="30" t="n">
        <v>0</v>
      </c>
      <c r="Q442" s="30" t="n">
        <v>1</v>
      </c>
      <c r="R442" s="30" t="n">
        <v>12</v>
      </c>
      <c r="S442" s="30" t="n">
        <v>773.9</v>
      </c>
      <c r="T442" s="30" t="n">
        <v>773.9</v>
      </c>
      <c r="U442" s="30" t="n">
        <v>509.2</v>
      </c>
      <c r="V442" s="30" t="n">
        <v>264.7</v>
      </c>
      <c r="W442" s="30" t="s">
        <v>53</v>
      </c>
      <c r="X442" s="30" t="s">
        <v>53</v>
      </c>
      <c r="Y442" s="30" t="s">
        <v>54</v>
      </c>
      <c r="Z442" s="30" t="s">
        <v>53</v>
      </c>
      <c r="AA442" s="30" t="s">
        <v>53</v>
      </c>
      <c r="AB442" s="30" t="s">
        <v>53</v>
      </c>
      <c r="AC442" s="30" t="s">
        <v>53</v>
      </c>
      <c r="AD442" s="30" t="s">
        <v>53</v>
      </c>
      <c r="AE442" s="30" t="s">
        <v>54</v>
      </c>
      <c r="AF442" s="30" t="n">
        <v>0</v>
      </c>
      <c r="AG442" s="30" t="n">
        <v>0</v>
      </c>
      <c r="AH442" s="30" t="n">
        <v>1</v>
      </c>
      <c r="AI442" s="30" t="n">
        <v>0</v>
      </c>
      <c r="AJ442" s="30" t="n">
        <v>1</v>
      </c>
      <c r="AK442" s="30" t="n">
        <v>0</v>
      </c>
      <c r="AL442" s="26"/>
    </row>
    <row collapsed="false" customFormat="false" customHeight="false" hidden="false" ht="14.5" outlineLevel="0" r="443">
      <c r="A443" s="30" t="n">
        <v>434</v>
      </c>
      <c r="B443" s="30" t="s">
        <v>45</v>
      </c>
      <c r="C443" s="30" t="s">
        <v>59</v>
      </c>
      <c r="D443" s="30" t="s">
        <v>616</v>
      </c>
      <c r="E443" s="30" t="n">
        <v>5</v>
      </c>
      <c r="F443" s="30"/>
      <c r="G443" s="30"/>
      <c r="H443" s="30" t="s">
        <v>617</v>
      </c>
      <c r="I443" s="30" t="s">
        <v>56</v>
      </c>
      <c r="J443" s="30"/>
      <c r="K443" s="30" t="s">
        <v>57</v>
      </c>
      <c r="L443" s="30" t="s">
        <v>57</v>
      </c>
      <c r="M443" s="30" t="n">
        <v>1917</v>
      </c>
      <c r="N443" s="30" t="s">
        <v>58</v>
      </c>
      <c r="O443" s="30" t="n">
        <v>3</v>
      </c>
      <c r="P443" s="30" t="n">
        <v>0</v>
      </c>
      <c r="Q443" s="30" t="n">
        <v>1</v>
      </c>
      <c r="R443" s="30" t="n">
        <v>10</v>
      </c>
      <c r="S443" s="30" t="n">
        <v>591</v>
      </c>
      <c r="T443" s="30" t="n">
        <v>591</v>
      </c>
      <c r="U443" s="30" t="n">
        <v>591</v>
      </c>
      <c r="V443" s="30"/>
      <c r="W443" s="30" t="s">
        <v>53</v>
      </c>
      <c r="X443" s="30" t="s">
        <v>53</v>
      </c>
      <c r="Y443" s="30" t="s">
        <v>53</v>
      </c>
      <c r="Z443" s="30" t="s">
        <v>53</v>
      </c>
      <c r="AA443" s="30" t="s">
        <v>53</v>
      </c>
      <c r="AB443" s="30" t="s">
        <v>53</v>
      </c>
      <c r="AC443" s="30" t="s">
        <v>53</v>
      </c>
      <c r="AD443" s="30" t="s">
        <v>53</v>
      </c>
      <c r="AE443" s="30" t="s">
        <v>54</v>
      </c>
      <c r="AF443" s="30" t="n">
        <v>0</v>
      </c>
      <c r="AG443" s="30" t="n">
        <v>0</v>
      </c>
      <c r="AH443" s="30" t="n">
        <v>0</v>
      </c>
      <c r="AI443" s="30" t="n">
        <v>0</v>
      </c>
      <c r="AJ443" s="30" t="n">
        <v>0</v>
      </c>
      <c r="AK443" s="30" t="n">
        <v>0</v>
      </c>
      <c r="AL443" s="26"/>
    </row>
    <row collapsed="false" customFormat="false" customHeight="false" hidden="false" ht="14.5" outlineLevel="0" r="444">
      <c r="A444" s="30" t="n">
        <v>435</v>
      </c>
      <c r="B444" s="30" t="s">
        <v>45</v>
      </c>
      <c r="C444" s="30" t="s">
        <v>59</v>
      </c>
      <c r="D444" s="30" t="s">
        <v>616</v>
      </c>
      <c r="E444" s="30" t="n">
        <v>7</v>
      </c>
      <c r="F444" s="30"/>
      <c r="G444" s="30"/>
      <c r="H444" s="30" t="s">
        <v>618</v>
      </c>
      <c r="I444" s="30" t="s">
        <v>56</v>
      </c>
      <c r="J444" s="30"/>
      <c r="K444" s="30" t="s">
        <v>57</v>
      </c>
      <c r="L444" s="30" t="s">
        <v>57</v>
      </c>
      <c r="M444" s="30" t="n">
        <v>1917</v>
      </c>
      <c r="N444" s="30" t="s">
        <v>58</v>
      </c>
      <c r="O444" s="30" t="n">
        <v>3</v>
      </c>
      <c r="P444" s="30" t="n">
        <v>0</v>
      </c>
      <c r="Q444" s="30" t="n">
        <v>1</v>
      </c>
      <c r="R444" s="30" t="n">
        <v>16</v>
      </c>
      <c r="S444" s="30" t="n">
        <v>1113</v>
      </c>
      <c r="T444" s="30" t="n">
        <v>1113</v>
      </c>
      <c r="U444" s="30" t="n">
        <v>1113</v>
      </c>
      <c r="V444" s="30"/>
      <c r="W444" s="30" t="s">
        <v>53</v>
      </c>
      <c r="X444" s="30" t="s">
        <v>53</v>
      </c>
      <c r="Y444" s="30" t="s">
        <v>53</v>
      </c>
      <c r="Z444" s="30" t="s">
        <v>53</v>
      </c>
      <c r="AA444" s="30" t="s">
        <v>53</v>
      </c>
      <c r="AB444" s="30" t="s">
        <v>53</v>
      </c>
      <c r="AC444" s="30" t="s">
        <v>53</v>
      </c>
      <c r="AD444" s="30" t="s">
        <v>53</v>
      </c>
      <c r="AE444" s="30" t="s">
        <v>54</v>
      </c>
      <c r="AF444" s="30" t="n">
        <v>0</v>
      </c>
      <c r="AG444" s="30" t="n">
        <v>0</v>
      </c>
      <c r="AH444" s="30" t="n">
        <v>1</v>
      </c>
      <c r="AI444" s="30" t="n">
        <v>0</v>
      </c>
      <c r="AJ444" s="30" t="n">
        <v>0</v>
      </c>
      <c r="AK444" s="30" t="n">
        <v>0</v>
      </c>
      <c r="AL444" s="26"/>
    </row>
    <row collapsed="false" customFormat="false" customHeight="false" hidden="false" ht="14.5" outlineLevel="0" r="445">
      <c r="A445" s="30" t="n">
        <v>436</v>
      </c>
      <c r="B445" s="30" t="s">
        <v>45</v>
      </c>
      <c r="C445" s="30" t="s">
        <v>59</v>
      </c>
      <c r="D445" s="30" t="s">
        <v>619</v>
      </c>
      <c r="E445" s="30" t="n">
        <v>6</v>
      </c>
      <c r="F445" s="30" t="s">
        <v>67</v>
      </c>
      <c r="G445" s="30"/>
      <c r="H445" s="30" t="s">
        <v>620</v>
      </c>
      <c r="I445" s="30" t="s">
        <v>56</v>
      </c>
      <c r="J445" s="30"/>
      <c r="K445" s="30" t="s">
        <v>64</v>
      </c>
      <c r="L445" s="30" t="s">
        <v>57</v>
      </c>
      <c r="M445" s="30" t="n">
        <v>1962</v>
      </c>
      <c r="N445" s="30" t="s">
        <v>58</v>
      </c>
      <c r="O445" s="30" t="n">
        <v>3</v>
      </c>
      <c r="P445" s="30" t="n">
        <v>0</v>
      </c>
      <c r="Q445" s="30" t="n">
        <v>3</v>
      </c>
      <c r="R445" s="30" t="n">
        <v>28</v>
      </c>
      <c r="S445" s="30" t="n">
        <v>1533.2</v>
      </c>
      <c r="T445" s="30" t="n">
        <v>1533.2</v>
      </c>
      <c r="U445" s="30" t="n">
        <v>1160</v>
      </c>
      <c r="V445" s="30" t="n">
        <v>373.2</v>
      </c>
      <c r="W445" s="30" t="s">
        <v>53</v>
      </c>
      <c r="X445" s="30" t="s">
        <v>53</v>
      </c>
      <c r="Y445" s="30" t="s">
        <v>53</v>
      </c>
      <c r="Z445" s="30" t="s">
        <v>53</v>
      </c>
      <c r="AA445" s="30" t="s">
        <v>53</v>
      </c>
      <c r="AB445" s="30" t="s">
        <v>53</v>
      </c>
      <c r="AC445" s="30" t="s">
        <v>53</v>
      </c>
      <c r="AD445" s="30" t="s">
        <v>53</v>
      </c>
      <c r="AE445" s="30" t="s">
        <v>54</v>
      </c>
      <c r="AF445" s="30" t="n">
        <v>0</v>
      </c>
      <c r="AG445" s="30" t="n">
        <v>0</v>
      </c>
      <c r="AH445" s="30" t="n">
        <v>0</v>
      </c>
      <c r="AI445" s="30" t="n">
        <v>0</v>
      </c>
      <c r="AJ445" s="30" t="n">
        <v>1</v>
      </c>
      <c r="AK445" s="30" t="n">
        <v>0</v>
      </c>
      <c r="AL445" s="26"/>
    </row>
    <row collapsed="false" customFormat="false" customHeight="false" hidden="false" ht="14.5" outlineLevel="0" r="446">
      <c r="A446" s="30" t="n">
        <v>437</v>
      </c>
      <c r="B446" s="30" t="s">
        <v>45</v>
      </c>
      <c r="C446" s="30" t="s">
        <v>59</v>
      </c>
      <c r="D446" s="30" t="s">
        <v>619</v>
      </c>
      <c r="E446" s="30" t="s">
        <v>621</v>
      </c>
      <c r="F446" s="30"/>
      <c r="G446" s="30"/>
      <c r="H446" s="30" t="s">
        <v>622</v>
      </c>
      <c r="I446" s="30" t="s">
        <v>56</v>
      </c>
      <c r="J446" s="30"/>
      <c r="K446" s="30" t="s">
        <v>57</v>
      </c>
      <c r="L446" s="30" t="s">
        <v>57</v>
      </c>
      <c r="M446" s="30" t="n">
        <v>1917</v>
      </c>
      <c r="N446" s="30" t="s">
        <v>58</v>
      </c>
      <c r="O446" s="30" t="n">
        <v>2</v>
      </c>
      <c r="P446" s="30" t="n">
        <v>0</v>
      </c>
      <c r="Q446" s="30" t="n">
        <v>3</v>
      </c>
      <c r="R446" s="30" t="n">
        <v>14</v>
      </c>
      <c r="S446" s="30" t="n">
        <v>657.9</v>
      </c>
      <c r="T446" s="30" t="n">
        <v>657.9</v>
      </c>
      <c r="U446" s="30" t="n">
        <v>579</v>
      </c>
      <c r="V446" s="30" t="n">
        <v>78.9</v>
      </c>
      <c r="W446" s="30" t="s">
        <v>53</v>
      </c>
      <c r="X446" s="30" t="s">
        <v>53</v>
      </c>
      <c r="Y446" s="30" t="s">
        <v>53</v>
      </c>
      <c r="Z446" s="30" t="s">
        <v>53</v>
      </c>
      <c r="AA446" s="30" t="s">
        <v>53</v>
      </c>
      <c r="AB446" s="30" t="s">
        <v>53</v>
      </c>
      <c r="AC446" s="30" t="s">
        <v>53</v>
      </c>
      <c r="AD446" s="30" t="s">
        <v>53</v>
      </c>
      <c r="AE446" s="30" t="s">
        <v>54</v>
      </c>
      <c r="AF446" s="30" t="n">
        <v>0</v>
      </c>
      <c r="AG446" s="30" t="n">
        <v>0</v>
      </c>
      <c r="AH446" s="30" t="n">
        <v>1</v>
      </c>
      <c r="AI446" s="30" t="n">
        <v>0</v>
      </c>
      <c r="AJ446" s="30" t="n">
        <v>1</v>
      </c>
      <c r="AK446" s="30" t="n">
        <v>0</v>
      </c>
      <c r="AL446" s="26"/>
    </row>
    <row collapsed="false" customFormat="false" customHeight="false" hidden="false" ht="14.5" outlineLevel="0" r="447">
      <c r="A447" s="30" t="n">
        <v>438</v>
      </c>
      <c r="B447" s="30" t="s">
        <v>45</v>
      </c>
      <c r="C447" s="30" t="s">
        <v>59</v>
      </c>
      <c r="D447" s="30" t="s">
        <v>619</v>
      </c>
      <c r="E447" s="30" t="n">
        <v>9</v>
      </c>
      <c r="F447" s="30"/>
      <c r="G447" s="30"/>
      <c r="H447" s="30" t="s">
        <v>623</v>
      </c>
      <c r="I447" s="30" t="s">
        <v>56</v>
      </c>
      <c r="J447" s="30"/>
      <c r="K447" s="30" t="s">
        <v>81</v>
      </c>
      <c r="L447" s="30" t="s">
        <v>57</v>
      </c>
      <c r="M447" s="30" t="n">
        <v>1940</v>
      </c>
      <c r="N447" s="30" t="s">
        <v>58</v>
      </c>
      <c r="O447" s="30" t="n">
        <v>4</v>
      </c>
      <c r="P447" s="30" t="n">
        <v>0</v>
      </c>
      <c r="Q447" s="30" t="n">
        <v>2</v>
      </c>
      <c r="R447" s="30" t="n">
        <v>26</v>
      </c>
      <c r="S447" s="30" t="n">
        <v>2594.6</v>
      </c>
      <c r="T447" s="30" t="n">
        <v>2594.6</v>
      </c>
      <c r="U447" s="30" t="n">
        <v>2156</v>
      </c>
      <c r="V447" s="30" t="n">
        <v>438.6</v>
      </c>
      <c r="W447" s="30" t="s">
        <v>53</v>
      </c>
      <c r="X447" s="30" t="s">
        <v>53</v>
      </c>
      <c r="Y447" s="30" t="s">
        <v>53</v>
      </c>
      <c r="Z447" s="30" t="s">
        <v>53</v>
      </c>
      <c r="AA447" s="30" t="s">
        <v>53</v>
      </c>
      <c r="AB447" s="30" t="s">
        <v>53</v>
      </c>
      <c r="AC447" s="30" t="s">
        <v>53</v>
      </c>
      <c r="AD447" s="30" t="s">
        <v>53</v>
      </c>
      <c r="AE447" s="30" t="s">
        <v>54</v>
      </c>
      <c r="AF447" s="30" t="n">
        <v>0</v>
      </c>
      <c r="AG447" s="30" t="n">
        <v>0</v>
      </c>
      <c r="AH447" s="30" t="n">
        <v>1</v>
      </c>
      <c r="AI447" s="30" t="n">
        <v>0</v>
      </c>
      <c r="AJ447" s="30" t="n">
        <v>0</v>
      </c>
      <c r="AK447" s="30" t="n">
        <v>0</v>
      </c>
      <c r="AL447" s="26"/>
    </row>
    <row collapsed="false" customFormat="false" customHeight="false" hidden="false" ht="14.5" outlineLevel="0" r="448">
      <c r="A448" s="30" t="n">
        <v>439</v>
      </c>
      <c r="B448" s="30" t="s">
        <v>45</v>
      </c>
      <c r="C448" s="30" t="s">
        <v>59</v>
      </c>
      <c r="D448" s="30" t="s">
        <v>619</v>
      </c>
      <c r="E448" s="30" t="n">
        <v>12</v>
      </c>
      <c r="F448" s="30"/>
      <c r="G448" s="30"/>
      <c r="H448" s="30" t="s">
        <v>624</v>
      </c>
      <c r="I448" s="30" t="s">
        <v>56</v>
      </c>
      <c r="J448" s="30"/>
      <c r="K448" s="30" t="s">
        <v>64</v>
      </c>
      <c r="L448" s="30" t="s">
        <v>57</v>
      </c>
      <c r="M448" s="30" t="n">
        <v>1956</v>
      </c>
      <c r="N448" s="30" t="s">
        <v>58</v>
      </c>
      <c r="O448" s="30" t="n">
        <v>3</v>
      </c>
      <c r="P448" s="30" t="n">
        <v>0</v>
      </c>
      <c r="Q448" s="30" t="n">
        <v>4</v>
      </c>
      <c r="R448" s="30" t="n">
        <v>22</v>
      </c>
      <c r="S448" s="30" t="n">
        <v>2437.1</v>
      </c>
      <c r="T448" s="30" t="n">
        <v>2437.1</v>
      </c>
      <c r="U448" s="30" t="n">
        <v>1321</v>
      </c>
      <c r="V448" s="30" t="n">
        <v>1116.1</v>
      </c>
      <c r="W448" s="30" t="s">
        <v>53</v>
      </c>
      <c r="X448" s="30" t="s">
        <v>53</v>
      </c>
      <c r="Y448" s="30" t="s">
        <v>53</v>
      </c>
      <c r="Z448" s="30" t="s">
        <v>53</v>
      </c>
      <c r="AA448" s="30" t="s">
        <v>53</v>
      </c>
      <c r="AB448" s="30" t="s">
        <v>53</v>
      </c>
      <c r="AC448" s="30" t="s">
        <v>53</v>
      </c>
      <c r="AD448" s="30" t="s">
        <v>53</v>
      </c>
      <c r="AE448" s="30" t="s">
        <v>54</v>
      </c>
      <c r="AF448" s="30" t="n">
        <v>0</v>
      </c>
      <c r="AG448" s="30" t="n">
        <v>0</v>
      </c>
      <c r="AH448" s="30" t="n">
        <v>1</v>
      </c>
      <c r="AI448" s="30" t="n">
        <v>0</v>
      </c>
      <c r="AJ448" s="30" t="n">
        <v>1</v>
      </c>
      <c r="AK448" s="30" t="n">
        <v>0</v>
      </c>
      <c r="AL448" s="26"/>
    </row>
    <row collapsed="false" customFormat="false" customHeight="false" hidden="false" ht="14.5" outlineLevel="0" r="449">
      <c r="A449" s="30" t="n">
        <v>440</v>
      </c>
      <c r="B449" s="30" t="s">
        <v>45</v>
      </c>
      <c r="C449" s="30" t="s">
        <v>59</v>
      </c>
      <c r="D449" s="30" t="s">
        <v>619</v>
      </c>
      <c r="E449" s="30" t="n">
        <v>14</v>
      </c>
      <c r="F449" s="30"/>
      <c r="G449" s="30"/>
      <c r="H449" s="30" t="s">
        <v>625</v>
      </c>
      <c r="I449" s="30" t="s">
        <v>56</v>
      </c>
      <c r="J449" s="30"/>
      <c r="K449" s="30" t="s">
        <v>81</v>
      </c>
      <c r="L449" s="30" t="s">
        <v>51</v>
      </c>
      <c r="M449" s="30" t="n">
        <v>1955</v>
      </c>
      <c r="N449" s="30" t="s">
        <v>58</v>
      </c>
      <c r="O449" s="30" t="n">
        <v>3</v>
      </c>
      <c r="P449" s="30" t="n">
        <v>0</v>
      </c>
      <c r="Q449" s="30" t="n">
        <v>3</v>
      </c>
      <c r="R449" s="30" t="n">
        <v>28</v>
      </c>
      <c r="S449" s="30" t="n">
        <v>2603.3</v>
      </c>
      <c r="T449" s="30" t="n">
        <v>2603.3</v>
      </c>
      <c r="U449" s="30" t="n">
        <v>1952</v>
      </c>
      <c r="V449" s="30" t="n">
        <v>651.3</v>
      </c>
      <c r="W449" s="30" t="s">
        <v>53</v>
      </c>
      <c r="X449" s="30" t="s">
        <v>53</v>
      </c>
      <c r="Y449" s="30" t="s">
        <v>53</v>
      </c>
      <c r="Z449" s="30" t="s">
        <v>53</v>
      </c>
      <c r="AA449" s="30" t="s">
        <v>53</v>
      </c>
      <c r="AB449" s="30" t="s">
        <v>53</v>
      </c>
      <c r="AC449" s="30" t="s">
        <v>53</v>
      </c>
      <c r="AD449" s="30" t="s">
        <v>53</v>
      </c>
      <c r="AE449" s="30" t="s">
        <v>54</v>
      </c>
      <c r="AF449" s="30" t="n">
        <v>0</v>
      </c>
      <c r="AG449" s="30" t="n">
        <v>0</v>
      </c>
      <c r="AH449" s="30" t="n">
        <v>2</v>
      </c>
      <c r="AI449" s="30" t="n">
        <v>0</v>
      </c>
      <c r="AJ449" s="30" t="n">
        <v>1</v>
      </c>
      <c r="AK449" s="30" t="n">
        <v>0</v>
      </c>
      <c r="AL449" s="26"/>
    </row>
    <row collapsed="false" customFormat="false" customHeight="false" hidden="false" ht="14.5" outlineLevel="0" r="450">
      <c r="A450" s="30" t="n">
        <v>441</v>
      </c>
      <c r="B450" s="30" t="s">
        <v>45</v>
      </c>
      <c r="C450" s="30" t="s">
        <v>59</v>
      </c>
      <c r="D450" s="30" t="s">
        <v>619</v>
      </c>
      <c r="E450" s="30" t="n">
        <v>17</v>
      </c>
      <c r="F450" s="30"/>
      <c r="G450" s="30"/>
      <c r="H450" s="30" t="s">
        <v>626</v>
      </c>
      <c r="I450" s="30" t="s">
        <v>56</v>
      </c>
      <c r="J450" s="30"/>
      <c r="K450" s="30" t="s">
        <v>81</v>
      </c>
      <c r="L450" s="30" t="s">
        <v>51</v>
      </c>
      <c r="M450" s="30" t="n">
        <v>1956</v>
      </c>
      <c r="N450" s="30" t="s">
        <v>58</v>
      </c>
      <c r="O450" s="30" t="n">
        <v>3</v>
      </c>
      <c r="P450" s="30" t="n">
        <v>0</v>
      </c>
      <c r="Q450" s="30" t="n">
        <v>7</v>
      </c>
      <c r="R450" s="30" t="n">
        <v>52</v>
      </c>
      <c r="S450" s="30" t="n">
        <v>5203.8</v>
      </c>
      <c r="T450" s="30" t="n">
        <v>5203.8</v>
      </c>
      <c r="U450" s="30" t="n">
        <v>3565</v>
      </c>
      <c r="V450" s="30" t="n">
        <v>1638.8</v>
      </c>
      <c r="W450" s="30" t="s">
        <v>53</v>
      </c>
      <c r="X450" s="30" t="s">
        <v>53</v>
      </c>
      <c r="Y450" s="30" t="s">
        <v>53</v>
      </c>
      <c r="Z450" s="30" t="s">
        <v>53</v>
      </c>
      <c r="AA450" s="30" t="s">
        <v>53</v>
      </c>
      <c r="AB450" s="30" t="s">
        <v>53</v>
      </c>
      <c r="AC450" s="30" t="s">
        <v>53</v>
      </c>
      <c r="AD450" s="30" t="s">
        <v>53</v>
      </c>
      <c r="AE450" s="30" t="s">
        <v>54</v>
      </c>
      <c r="AF450" s="30" t="n">
        <v>0</v>
      </c>
      <c r="AG450" s="30" t="n">
        <v>1</v>
      </c>
      <c r="AH450" s="30" t="n">
        <v>1</v>
      </c>
      <c r="AI450" s="30" t="n">
        <v>0</v>
      </c>
      <c r="AJ450" s="30" t="n">
        <v>1</v>
      </c>
      <c r="AK450" s="30" t="n">
        <v>0</v>
      </c>
      <c r="AL450" s="26"/>
    </row>
    <row collapsed="false" customFormat="false" customHeight="false" hidden="false" ht="14.5" outlineLevel="0" r="451">
      <c r="A451" s="30" t="n">
        <v>442</v>
      </c>
      <c r="B451" s="30" t="s">
        <v>45</v>
      </c>
      <c r="C451" s="30" t="s">
        <v>59</v>
      </c>
      <c r="D451" s="30" t="s">
        <v>619</v>
      </c>
      <c r="E451" s="30" t="n">
        <v>25</v>
      </c>
      <c r="F451" s="30"/>
      <c r="G451" s="30"/>
      <c r="H451" s="30" t="s">
        <v>627</v>
      </c>
      <c r="I451" s="30" t="s">
        <v>56</v>
      </c>
      <c r="J451" s="30"/>
      <c r="K451" s="30" t="s">
        <v>81</v>
      </c>
      <c r="L451" s="30" t="s">
        <v>51</v>
      </c>
      <c r="M451" s="30" t="n">
        <v>1956</v>
      </c>
      <c r="N451" s="30" t="s">
        <v>58</v>
      </c>
      <c r="O451" s="30" t="n">
        <v>3</v>
      </c>
      <c r="P451" s="30" t="n">
        <v>0</v>
      </c>
      <c r="Q451" s="30" t="n">
        <v>6</v>
      </c>
      <c r="R451" s="30" t="n">
        <v>51</v>
      </c>
      <c r="S451" s="30" t="n">
        <v>4094.1</v>
      </c>
      <c r="T451" s="30" t="n">
        <v>4094.1</v>
      </c>
      <c r="U451" s="30" t="n">
        <v>3043</v>
      </c>
      <c r="V451" s="30" t="n">
        <v>1051.1</v>
      </c>
      <c r="W451" s="30" t="s">
        <v>53</v>
      </c>
      <c r="X451" s="30" t="s">
        <v>53</v>
      </c>
      <c r="Y451" s="30" t="s">
        <v>53</v>
      </c>
      <c r="Z451" s="30" t="s">
        <v>53</v>
      </c>
      <c r="AA451" s="30" t="s">
        <v>53</v>
      </c>
      <c r="AB451" s="30" t="s">
        <v>53</v>
      </c>
      <c r="AC451" s="30" t="s">
        <v>53</v>
      </c>
      <c r="AD451" s="30" t="s">
        <v>53</v>
      </c>
      <c r="AE451" s="30" t="s">
        <v>54</v>
      </c>
      <c r="AF451" s="30" t="n">
        <v>0</v>
      </c>
      <c r="AG451" s="30" t="n">
        <v>0</v>
      </c>
      <c r="AH451" s="30" t="n">
        <v>1</v>
      </c>
      <c r="AI451" s="30" t="n">
        <v>0</v>
      </c>
      <c r="AJ451" s="30" t="n">
        <v>1</v>
      </c>
      <c r="AK451" s="30" t="n">
        <v>0</v>
      </c>
      <c r="AL451" s="26"/>
    </row>
    <row collapsed="false" customFormat="false" customHeight="false" hidden="false" ht="14.5" outlineLevel="0" r="452">
      <c r="A452" s="30" t="n">
        <v>443</v>
      </c>
      <c r="B452" s="30" t="s">
        <v>45</v>
      </c>
      <c r="C452" s="30" t="s">
        <v>59</v>
      </c>
      <c r="D452" s="30" t="s">
        <v>619</v>
      </c>
      <c r="E452" s="30" t="n">
        <v>26</v>
      </c>
      <c r="F452" s="30"/>
      <c r="G452" s="30"/>
      <c r="H452" s="30" t="s">
        <v>628</v>
      </c>
      <c r="I452" s="30" t="s">
        <v>56</v>
      </c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 t="n">
        <v>250</v>
      </c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26"/>
    </row>
    <row collapsed="false" customFormat="false" customHeight="false" hidden="false" ht="14.5" outlineLevel="0" r="453">
      <c r="A453" s="30" t="n">
        <v>444</v>
      </c>
      <c r="B453" s="30" t="s">
        <v>45</v>
      </c>
      <c r="C453" s="30" t="s">
        <v>59</v>
      </c>
      <c r="D453" s="30" t="s">
        <v>619</v>
      </c>
      <c r="E453" s="30" t="n">
        <v>27</v>
      </c>
      <c r="F453" s="30"/>
      <c r="G453" s="30"/>
      <c r="H453" s="30" t="s">
        <v>629</v>
      </c>
      <c r="I453" s="30" t="s">
        <v>56</v>
      </c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 t="n">
        <v>385</v>
      </c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26"/>
    </row>
    <row collapsed="false" customFormat="false" customHeight="false" hidden="false" ht="14.5" outlineLevel="0" r="454">
      <c r="A454" s="30" t="n">
        <v>445</v>
      </c>
      <c r="B454" s="30" t="s">
        <v>45</v>
      </c>
      <c r="C454" s="30" t="s">
        <v>59</v>
      </c>
      <c r="D454" s="30" t="s">
        <v>619</v>
      </c>
      <c r="E454" s="30" t="n">
        <v>28</v>
      </c>
      <c r="F454" s="30"/>
      <c r="G454" s="30"/>
      <c r="H454" s="30" t="s">
        <v>630</v>
      </c>
      <c r="I454" s="30" t="s">
        <v>56</v>
      </c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 t="n">
        <v>252</v>
      </c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26"/>
    </row>
    <row collapsed="false" customFormat="false" customHeight="false" hidden="false" ht="14.5" outlineLevel="0" r="455">
      <c r="A455" s="30" t="n">
        <v>446</v>
      </c>
      <c r="B455" s="30" t="s">
        <v>45</v>
      </c>
      <c r="C455" s="30" t="s">
        <v>59</v>
      </c>
      <c r="D455" s="30" t="s">
        <v>619</v>
      </c>
      <c r="E455" s="30" t="n">
        <v>29</v>
      </c>
      <c r="F455" s="30"/>
      <c r="G455" s="30"/>
      <c r="H455" s="30" t="s">
        <v>631</v>
      </c>
      <c r="I455" s="30" t="s">
        <v>56</v>
      </c>
      <c r="J455" s="30"/>
      <c r="K455" s="30" t="s">
        <v>81</v>
      </c>
      <c r="L455" s="30" t="s">
        <v>51</v>
      </c>
      <c r="M455" s="30" t="n">
        <v>1954</v>
      </c>
      <c r="N455" s="30" t="s">
        <v>58</v>
      </c>
      <c r="O455" s="30" t="n">
        <v>3</v>
      </c>
      <c r="P455" s="30" t="n">
        <v>0</v>
      </c>
      <c r="Q455" s="30" t="n">
        <v>2</v>
      </c>
      <c r="R455" s="30" t="n">
        <v>14</v>
      </c>
      <c r="S455" s="30" t="n">
        <v>1792.4</v>
      </c>
      <c r="T455" s="30" t="n">
        <v>1792.4</v>
      </c>
      <c r="U455" s="30" t="n">
        <v>1109</v>
      </c>
      <c r="V455" s="30" t="n">
        <v>683.4</v>
      </c>
      <c r="W455" s="30" t="s">
        <v>53</v>
      </c>
      <c r="X455" s="30" t="s">
        <v>53</v>
      </c>
      <c r="Y455" s="30" t="s">
        <v>53</v>
      </c>
      <c r="Z455" s="30" t="s">
        <v>53</v>
      </c>
      <c r="AA455" s="30" t="s">
        <v>53</v>
      </c>
      <c r="AB455" s="30" t="s">
        <v>53</v>
      </c>
      <c r="AC455" s="30" t="s">
        <v>53</v>
      </c>
      <c r="AD455" s="30" t="s">
        <v>53</v>
      </c>
      <c r="AE455" s="30" t="s">
        <v>54</v>
      </c>
      <c r="AF455" s="30" t="n">
        <v>0</v>
      </c>
      <c r="AG455" s="30" t="n">
        <v>0</v>
      </c>
      <c r="AH455" s="30" t="n">
        <v>2</v>
      </c>
      <c r="AI455" s="30" t="n">
        <v>0</v>
      </c>
      <c r="AJ455" s="30" t="n">
        <v>1</v>
      </c>
      <c r="AK455" s="30" t="n">
        <v>0</v>
      </c>
      <c r="AL455" s="26"/>
    </row>
    <row collapsed="false" customFormat="false" customHeight="false" hidden="false" ht="14.5" outlineLevel="0" r="456">
      <c r="A456" s="30" t="n">
        <v>447</v>
      </c>
      <c r="B456" s="30" t="s">
        <v>45</v>
      </c>
      <c r="C456" s="30" t="s">
        <v>59</v>
      </c>
      <c r="D456" s="30" t="s">
        <v>619</v>
      </c>
      <c r="E456" s="30" t="n">
        <v>30</v>
      </c>
      <c r="F456" s="30"/>
      <c r="G456" s="30"/>
      <c r="H456" s="30" t="s">
        <v>632</v>
      </c>
      <c r="I456" s="30" t="s">
        <v>56</v>
      </c>
      <c r="J456" s="30"/>
      <c r="K456" s="30" t="s">
        <v>81</v>
      </c>
      <c r="L456" s="30" t="s">
        <v>51</v>
      </c>
      <c r="M456" s="30" t="n">
        <v>1952</v>
      </c>
      <c r="N456" s="30" t="s">
        <v>58</v>
      </c>
      <c r="O456" s="30" t="n">
        <v>3</v>
      </c>
      <c r="P456" s="30" t="n">
        <v>0</v>
      </c>
      <c r="Q456" s="30" t="n">
        <v>2</v>
      </c>
      <c r="R456" s="30" t="n">
        <v>11</v>
      </c>
      <c r="S456" s="30" t="n">
        <v>932.9</v>
      </c>
      <c r="T456" s="30" t="n">
        <v>932.9</v>
      </c>
      <c r="U456" s="30" t="n">
        <v>608</v>
      </c>
      <c r="V456" s="30" t="n">
        <v>324.9</v>
      </c>
      <c r="W456" s="30" t="s">
        <v>53</v>
      </c>
      <c r="X456" s="30" t="s">
        <v>53</v>
      </c>
      <c r="Y456" s="30" t="s">
        <v>53</v>
      </c>
      <c r="Z456" s="30" t="s">
        <v>53</v>
      </c>
      <c r="AA456" s="30" t="s">
        <v>53</v>
      </c>
      <c r="AB456" s="30" t="s">
        <v>53</v>
      </c>
      <c r="AC456" s="30" t="s">
        <v>53</v>
      </c>
      <c r="AD456" s="30" t="s">
        <v>53</v>
      </c>
      <c r="AE456" s="30" t="s">
        <v>54</v>
      </c>
      <c r="AF456" s="30" t="n">
        <v>0</v>
      </c>
      <c r="AG456" s="30" t="n">
        <v>0</v>
      </c>
      <c r="AH456" s="30" t="n">
        <v>1</v>
      </c>
      <c r="AI456" s="30" t="n">
        <v>0</v>
      </c>
      <c r="AJ456" s="30" t="n">
        <v>0</v>
      </c>
      <c r="AK456" s="30" t="n">
        <v>0</v>
      </c>
      <c r="AL456" s="26"/>
    </row>
    <row collapsed="false" customFormat="false" customHeight="false" hidden="false" ht="14.5" outlineLevel="0" r="457">
      <c r="A457" s="30" t="n">
        <v>448</v>
      </c>
      <c r="B457" s="30" t="s">
        <v>45</v>
      </c>
      <c r="C457" s="30" t="s">
        <v>59</v>
      </c>
      <c r="D457" s="30" t="s">
        <v>619</v>
      </c>
      <c r="E457" s="30" t="n">
        <v>31</v>
      </c>
      <c r="F457" s="30"/>
      <c r="G457" s="30"/>
      <c r="H457" s="30" t="s">
        <v>633</v>
      </c>
      <c r="I457" s="30" t="s">
        <v>56</v>
      </c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 t="n">
        <v>219</v>
      </c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26"/>
    </row>
    <row collapsed="false" customFormat="false" customHeight="false" hidden="false" ht="14.5" outlineLevel="0" r="458">
      <c r="A458" s="30" t="n">
        <v>449</v>
      </c>
      <c r="B458" s="30" t="s">
        <v>45</v>
      </c>
      <c r="C458" s="30" t="s">
        <v>59</v>
      </c>
      <c r="D458" s="30" t="s">
        <v>619</v>
      </c>
      <c r="E458" s="30" t="n">
        <v>33</v>
      </c>
      <c r="F458" s="30"/>
      <c r="G458" s="30"/>
      <c r="H458" s="30" t="s">
        <v>634</v>
      </c>
      <c r="I458" s="30" t="s">
        <v>56</v>
      </c>
      <c r="J458" s="30"/>
      <c r="K458" s="30" t="s">
        <v>81</v>
      </c>
      <c r="L458" s="30" t="s">
        <v>51</v>
      </c>
      <c r="M458" s="30" t="n">
        <v>1952</v>
      </c>
      <c r="N458" s="30" t="s">
        <v>58</v>
      </c>
      <c r="O458" s="30" t="n">
        <v>3</v>
      </c>
      <c r="P458" s="30" t="n">
        <v>0</v>
      </c>
      <c r="Q458" s="30" t="n">
        <v>3</v>
      </c>
      <c r="R458" s="30" t="n">
        <v>20</v>
      </c>
      <c r="S458" s="30" t="n">
        <v>1708.6</v>
      </c>
      <c r="T458" s="30" t="n">
        <v>1708.6</v>
      </c>
      <c r="U458" s="30" t="n">
        <v>1345</v>
      </c>
      <c r="V458" s="30" t="n">
        <v>363.6</v>
      </c>
      <c r="W458" s="30" t="s">
        <v>53</v>
      </c>
      <c r="X458" s="30" t="s">
        <v>53</v>
      </c>
      <c r="Y458" s="30" t="s">
        <v>53</v>
      </c>
      <c r="Z458" s="30" t="s">
        <v>53</v>
      </c>
      <c r="AA458" s="30" t="s">
        <v>53</v>
      </c>
      <c r="AB458" s="30" t="s">
        <v>53</v>
      </c>
      <c r="AC458" s="30" t="s">
        <v>53</v>
      </c>
      <c r="AD458" s="30" t="s">
        <v>53</v>
      </c>
      <c r="AE458" s="30" t="s">
        <v>54</v>
      </c>
      <c r="AF458" s="30" t="n">
        <v>0</v>
      </c>
      <c r="AG458" s="30" t="n">
        <v>0</v>
      </c>
      <c r="AH458" s="30" t="n">
        <v>2</v>
      </c>
      <c r="AI458" s="30" t="n">
        <v>0</v>
      </c>
      <c r="AJ458" s="30" t="n">
        <v>1</v>
      </c>
      <c r="AK458" s="30" t="n">
        <v>0</v>
      </c>
      <c r="AL458" s="26"/>
    </row>
    <row collapsed="false" customFormat="false" customHeight="false" hidden="false" ht="14.5" outlineLevel="0" r="459">
      <c r="A459" s="30" t="n">
        <v>450</v>
      </c>
      <c r="B459" s="30" t="s">
        <v>45</v>
      </c>
      <c r="C459" s="30" t="s">
        <v>59</v>
      </c>
      <c r="D459" s="30" t="s">
        <v>619</v>
      </c>
      <c r="E459" s="30" t="n">
        <v>35</v>
      </c>
      <c r="F459" s="30"/>
      <c r="G459" s="30"/>
      <c r="H459" s="30" t="s">
        <v>635</v>
      </c>
      <c r="I459" s="30" t="s">
        <v>56</v>
      </c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 t="n">
        <v>224</v>
      </c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26"/>
    </row>
    <row collapsed="false" customFormat="false" customHeight="false" hidden="false" ht="14.5" outlineLevel="0" r="460">
      <c r="A460" s="30" t="n">
        <v>451</v>
      </c>
      <c r="B460" s="30" t="s">
        <v>45</v>
      </c>
      <c r="C460" s="30" t="s">
        <v>59</v>
      </c>
      <c r="D460" s="30" t="s">
        <v>619</v>
      </c>
      <c r="E460" s="30" t="n">
        <v>37</v>
      </c>
      <c r="F460" s="30"/>
      <c r="G460" s="30"/>
      <c r="H460" s="30" t="s">
        <v>636</v>
      </c>
      <c r="I460" s="30" t="s">
        <v>56</v>
      </c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 t="n">
        <v>303</v>
      </c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26"/>
    </row>
    <row collapsed="false" customFormat="false" customHeight="false" hidden="false" ht="14.5" outlineLevel="0" r="461">
      <c r="A461" s="30" t="n">
        <v>452</v>
      </c>
      <c r="B461" s="30" t="s">
        <v>45</v>
      </c>
      <c r="C461" s="30" t="s">
        <v>59</v>
      </c>
      <c r="D461" s="30" t="s">
        <v>619</v>
      </c>
      <c r="E461" s="30" t="n">
        <v>41</v>
      </c>
      <c r="F461" s="30"/>
      <c r="G461" s="30"/>
      <c r="H461" s="30" t="s">
        <v>637</v>
      </c>
      <c r="I461" s="30" t="s">
        <v>56</v>
      </c>
      <c r="J461" s="30"/>
      <c r="K461" s="30" t="s">
        <v>57</v>
      </c>
      <c r="L461" s="30" t="s">
        <v>57</v>
      </c>
      <c r="M461" s="30" t="n">
        <v>1917</v>
      </c>
      <c r="N461" s="30" t="s">
        <v>58</v>
      </c>
      <c r="O461" s="30" t="n">
        <v>3</v>
      </c>
      <c r="P461" s="30" t="n">
        <v>0</v>
      </c>
      <c r="Q461" s="30" t="n">
        <v>3</v>
      </c>
      <c r="R461" s="30" t="n">
        <v>30</v>
      </c>
      <c r="S461" s="30" t="n">
        <v>2422.3</v>
      </c>
      <c r="T461" s="30" t="n">
        <v>2422.3</v>
      </c>
      <c r="U461" s="30" t="n">
        <v>2018</v>
      </c>
      <c r="V461" s="30" t="n">
        <v>404.3</v>
      </c>
      <c r="W461" s="30" t="s">
        <v>53</v>
      </c>
      <c r="X461" s="30" t="s">
        <v>53</v>
      </c>
      <c r="Y461" s="30" t="s">
        <v>53</v>
      </c>
      <c r="Z461" s="30" t="s">
        <v>53</v>
      </c>
      <c r="AA461" s="30" t="s">
        <v>53</v>
      </c>
      <c r="AB461" s="30" t="s">
        <v>53</v>
      </c>
      <c r="AC461" s="30" t="s">
        <v>53</v>
      </c>
      <c r="AD461" s="30" t="s">
        <v>53</v>
      </c>
      <c r="AE461" s="30" t="s">
        <v>54</v>
      </c>
      <c r="AF461" s="30" t="n">
        <v>0</v>
      </c>
      <c r="AG461" s="30" t="n">
        <v>0</v>
      </c>
      <c r="AH461" s="30" t="n">
        <v>2</v>
      </c>
      <c r="AI461" s="30" t="n">
        <v>0</v>
      </c>
      <c r="AJ461" s="30" t="n">
        <v>1</v>
      </c>
      <c r="AK461" s="30" t="n">
        <v>0</v>
      </c>
      <c r="AL461" s="26"/>
    </row>
    <row collapsed="false" customFormat="false" customHeight="false" hidden="false" ht="14.5" outlineLevel="0" r="462">
      <c r="A462" s="30" t="n">
        <v>453</v>
      </c>
      <c r="B462" s="30" t="s">
        <v>45</v>
      </c>
      <c r="C462" s="30" t="s">
        <v>59</v>
      </c>
      <c r="D462" s="30" t="s">
        <v>619</v>
      </c>
      <c r="E462" s="30" t="n">
        <v>42</v>
      </c>
      <c r="F462" s="30"/>
      <c r="G462" s="30"/>
      <c r="H462" s="30" t="s">
        <v>638</v>
      </c>
      <c r="I462" s="30" t="s">
        <v>56</v>
      </c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 t="n">
        <v>492</v>
      </c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26"/>
    </row>
    <row collapsed="false" customFormat="false" customHeight="false" hidden="false" ht="14.5" outlineLevel="0" r="463">
      <c r="A463" s="30" t="n">
        <v>454</v>
      </c>
      <c r="B463" s="30" t="s">
        <v>45</v>
      </c>
      <c r="C463" s="30" t="s">
        <v>59</v>
      </c>
      <c r="D463" s="30" t="s">
        <v>619</v>
      </c>
      <c r="E463" s="30" t="n">
        <v>46</v>
      </c>
      <c r="F463" s="30"/>
      <c r="G463" s="30"/>
      <c r="H463" s="30" t="s">
        <v>639</v>
      </c>
      <c r="I463" s="30" t="s">
        <v>56</v>
      </c>
      <c r="J463" s="30"/>
      <c r="K463" s="30" t="s">
        <v>57</v>
      </c>
      <c r="L463" s="30" t="s">
        <v>57</v>
      </c>
      <c r="M463" s="30" t="n">
        <v>1919</v>
      </c>
      <c r="N463" s="30" t="s">
        <v>58</v>
      </c>
      <c r="O463" s="30" t="n">
        <v>2</v>
      </c>
      <c r="P463" s="30" t="n">
        <v>0</v>
      </c>
      <c r="Q463" s="30" t="n">
        <v>1</v>
      </c>
      <c r="R463" s="30" t="n">
        <v>5</v>
      </c>
      <c r="S463" s="30" t="n">
        <v>959.8</v>
      </c>
      <c r="T463" s="30" t="n">
        <v>959.8</v>
      </c>
      <c r="U463" s="30" t="n">
        <v>696</v>
      </c>
      <c r="V463" s="30" t="n">
        <v>263.8</v>
      </c>
      <c r="W463" s="30" t="s">
        <v>53</v>
      </c>
      <c r="X463" s="30" t="s">
        <v>53</v>
      </c>
      <c r="Y463" s="30" t="s">
        <v>53</v>
      </c>
      <c r="Z463" s="30" t="s">
        <v>53</v>
      </c>
      <c r="AA463" s="30" t="s">
        <v>53</v>
      </c>
      <c r="AB463" s="30" t="s">
        <v>53</v>
      </c>
      <c r="AC463" s="30" t="s">
        <v>53</v>
      </c>
      <c r="AD463" s="30" t="s">
        <v>53</v>
      </c>
      <c r="AE463" s="30" t="s">
        <v>54</v>
      </c>
      <c r="AF463" s="30" t="n">
        <v>0</v>
      </c>
      <c r="AG463" s="30" t="n">
        <v>0</v>
      </c>
      <c r="AH463" s="30" t="n">
        <v>1</v>
      </c>
      <c r="AI463" s="30" t="n">
        <v>0</v>
      </c>
      <c r="AJ463" s="30" t="n">
        <v>1</v>
      </c>
      <c r="AK463" s="30" t="n">
        <v>0</v>
      </c>
      <c r="AL463" s="26"/>
    </row>
    <row collapsed="false" customFormat="false" customHeight="false" hidden="false" ht="14.5" outlineLevel="0" r="464">
      <c r="A464" s="30" t="n">
        <v>455</v>
      </c>
      <c r="B464" s="30" t="s">
        <v>45</v>
      </c>
      <c r="C464" s="30" t="s">
        <v>59</v>
      </c>
      <c r="D464" s="30" t="s">
        <v>619</v>
      </c>
      <c r="E464" s="30" t="n">
        <v>48</v>
      </c>
      <c r="F464" s="30"/>
      <c r="G464" s="30"/>
      <c r="H464" s="30" t="s">
        <v>640</v>
      </c>
      <c r="I464" s="30" t="s">
        <v>56</v>
      </c>
      <c r="J464" s="30"/>
      <c r="K464" s="30" t="s">
        <v>57</v>
      </c>
      <c r="L464" s="30" t="s">
        <v>57</v>
      </c>
      <c r="M464" s="30" t="n">
        <v>1917</v>
      </c>
      <c r="N464" s="30" t="s">
        <v>58</v>
      </c>
      <c r="O464" s="30" t="n">
        <v>3</v>
      </c>
      <c r="P464" s="30" t="n">
        <v>0</v>
      </c>
      <c r="Q464" s="30" t="n">
        <v>1</v>
      </c>
      <c r="R464" s="30" t="n">
        <v>22</v>
      </c>
      <c r="S464" s="30" t="n">
        <v>984.6</v>
      </c>
      <c r="T464" s="30" t="n">
        <v>984.6</v>
      </c>
      <c r="U464" s="30" t="n">
        <v>957</v>
      </c>
      <c r="V464" s="30"/>
      <c r="W464" s="30" t="s">
        <v>53</v>
      </c>
      <c r="X464" s="30" t="s">
        <v>53</v>
      </c>
      <c r="Y464" s="30" t="s">
        <v>53</v>
      </c>
      <c r="Z464" s="30" t="s">
        <v>53</v>
      </c>
      <c r="AA464" s="30" t="s">
        <v>53</v>
      </c>
      <c r="AB464" s="30" t="s">
        <v>53</v>
      </c>
      <c r="AC464" s="30" t="s">
        <v>53</v>
      </c>
      <c r="AD464" s="30" t="s">
        <v>53</v>
      </c>
      <c r="AE464" s="30" t="s">
        <v>54</v>
      </c>
      <c r="AF464" s="30" t="n">
        <v>0</v>
      </c>
      <c r="AG464" s="30" t="n">
        <v>0</v>
      </c>
      <c r="AH464" s="30" t="n">
        <v>0</v>
      </c>
      <c r="AI464" s="30" t="n">
        <v>0</v>
      </c>
      <c r="AJ464" s="30" t="n">
        <v>0</v>
      </c>
      <c r="AK464" s="30" t="n">
        <v>0</v>
      </c>
      <c r="AL464" s="26"/>
    </row>
    <row collapsed="false" customFormat="false" customHeight="false" hidden="false" ht="14.5" outlineLevel="0" r="465">
      <c r="A465" s="30" t="n">
        <v>456</v>
      </c>
      <c r="B465" s="30" t="s">
        <v>45</v>
      </c>
      <c r="C465" s="30" t="s">
        <v>59</v>
      </c>
      <c r="D465" s="30" t="s">
        <v>619</v>
      </c>
      <c r="E465" s="30" t="s">
        <v>641</v>
      </c>
      <c r="F465" s="30"/>
      <c r="G465" s="30"/>
      <c r="H465" s="30" t="s">
        <v>642</v>
      </c>
      <c r="I465" s="30" t="s">
        <v>56</v>
      </c>
      <c r="J465" s="30"/>
      <c r="K465" s="30" t="s">
        <v>57</v>
      </c>
      <c r="L465" s="30" t="s">
        <v>57</v>
      </c>
      <c r="M465" s="30" t="n">
        <v>1919</v>
      </c>
      <c r="N465" s="30" t="s">
        <v>58</v>
      </c>
      <c r="O465" s="30" t="n">
        <v>2</v>
      </c>
      <c r="P465" s="30" t="n">
        <v>0</v>
      </c>
      <c r="Q465" s="30" t="n">
        <v>2</v>
      </c>
      <c r="R465" s="30" t="n">
        <v>6</v>
      </c>
      <c r="S465" s="30" t="n">
        <v>1024</v>
      </c>
      <c r="T465" s="30" t="n">
        <v>1024</v>
      </c>
      <c r="U465" s="30" t="n">
        <v>527</v>
      </c>
      <c r="V465" s="30" t="n">
        <v>497</v>
      </c>
      <c r="W465" s="30" t="s">
        <v>53</v>
      </c>
      <c r="X465" s="30" t="s">
        <v>53</v>
      </c>
      <c r="Y465" s="30" t="s">
        <v>53</v>
      </c>
      <c r="Z465" s="30" t="s">
        <v>53</v>
      </c>
      <c r="AA465" s="30" t="s">
        <v>53</v>
      </c>
      <c r="AB465" s="30" t="s">
        <v>53</v>
      </c>
      <c r="AC465" s="30" t="s">
        <v>53</v>
      </c>
      <c r="AD465" s="30" t="s">
        <v>53</v>
      </c>
      <c r="AE465" s="30" t="s">
        <v>54</v>
      </c>
      <c r="AF465" s="30" t="n">
        <v>0</v>
      </c>
      <c r="AG465" s="30" t="n">
        <v>0</v>
      </c>
      <c r="AH465" s="30" t="n">
        <v>1</v>
      </c>
      <c r="AI465" s="30" t="n">
        <v>0</v>
      </c>
      <c r="AJ465" s="30" t="n">
        <v>0</v>
      </c>
      <c r="AK465" s="30" t="n">
        <v>0</v>
      </c>
      <c r="AL465" s="26"/>
    </row>
    <row collapsed="false" customFormat="false" customHeight="false" hidden="false" ht="14.5" outlineLevel="0" r="466">
      <c r="A466" s="30" t="n">
        <v>457</v>
      </c>
      <c r="B466" s="30" t="s">
        <v>45</v>
      </c>
      <c r="C466" s="30" t="s">
        <v>59</v>
      </c>
      <c r="D466" s="30" t="s">
        <v>619</v>
      </c>
      <c r="E466" s="30" t="n">
        <v>51</v>
      </c>
      <c r="F466" s="30"/>
      <c r="G466" s="30"/>
      <c r="H466" s="30" t="s">
        <v>643</v>
      </c>
      <c r="I466" s="30" t="s">
        <v>56</v>
      </c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 t="n">
        <v>423</v>
      </c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26"/>
    </row>
    <row collapsed="false" customFormat="false" customHeight="false" hidden="false" ht="14.5" outlineLevel="0" r="467">
      <c r="A467" s="30" t="n">
        <v>458</v>
      </c>
      <c r="B467" s="30" t="s">
        <v>45</v>
      </c>
      <c r="C467" s="30" t="s">
        <v>59</v>
      </c>
      <c r="D467" s="30" t="s">
        <v>619</v>
      </c>
      <c r="E467" s="30" t="n">
        <v>52</v>
      </c>
      <c r="F467" s="30"/>
      <c r="G467" s="30"/>
      <c r="H467" s="30" t="s">
        <v>644</v>
      </c>
      <c r="I467" s="30" t="s">
        <v>56</v>
      </c>
      <c r="J467" s="30"/>
      <c r="K467" s="30" t="s">
        <v>64</v>
      </c>
      <c r="L467" s="30" t="s">
        <v>57</v>
      </c>
      <c r="M467" s="30" t="n">
        <v>1961</v>
      </c>
      <c r="N467" s="30" t="s">
        <v>58</v>
      </c>
      <c r="O467" s="30" t="n">
        <v>4</v>
      </c>
      <c r="P467" s="30" t="n">
        <v>0</v>
      </c>
      <c r="Q467" s="30" t="n">
        <v>4</v>
      </c>
      <c r="R467" s="30" t="n">
        <v>55</v>
      </c>
      <c r="S467" s="30" t="n">
        <v>2760.6</v>
      </c>
      <c r="T467" s="30" t="n">
        <v>2760.6</v>
      </c>
      <c r="U467" s="30" t="n">
        <v>2509</v>
      </c>
      <c r="V467" s="30" t="n">
        <v>251.6</v>
      </c>
      <c r="W467" s="30" t="s">
        <v>53</v>
      </c>
      <c r="X467" s="30" t="s">
        <v>53</v>
      </c>
      <c r="Y467" s="30" t="s">
        <v>53</v>
      </c>
      <c r="Z467" s="30" t="s">
        <v>53</v>
      </c>
      <c r="AA467" s="30" t="s">
        <v>53</v>
      </c>
      <c r="AB467" s="30" t="s">
        <v>53</v>
      </c>
      <c r="AC467" s="30" t="s">
        <v>53</v>
      </c>
      <c r="AD467" s="30" t="s">
        <v>53</v>
      </c>
      <c r="AE467" s="30" t="s">
        <v>54</v>
      </c>
      <c r="AF467" s="30" t="n">
        <v>0</v>
      </c>
      <c r="AG467" s="30" t="n">
        <v>0</v>
      </c>
      <c r="AH467" s="30" t="n">
        <v>1</v>
      </c>
      <c r="AI467" s="30" t="n">
        <v>0</v>
      </c>
      <c r="AJ467" s="30" t="n">
        <v>1</v>
      </c>
      <c r="AK467" s="30" t="n">
        <v>0</v>
      </c>
      <c r="AL467" s="26"/>
    </row>
    <row collapsed="false" customFormat="false" customHeight="false" hidden="false" ht="14.5" outlineLevel="0" r="468">
      <c r="A468" s="30" t="n">
        <v>459</v>
      </c>
      <c r="B468" s="30" t="s">
        <v>45</v>
      </c>
      <c r="C468" s="30" t="s">
        <v>59</v>
      </c>
      <c r="D468" s="30" t="s">
        <v>619</v>
      </c>
      <c r="E468" s="30" t="n">
        <v>54</v>
      </c>
      <c r="F468" s="30"/>
      <c r="G468" s="30"/>
      <c r="H468" s="30" t="s">
        <v>645</v>
      </c>
      <c r="I468" s="30" t="s">
        <v>56</v>
      </c>
      <c r="J468" s="30"/>
      <c r="K468" s="30" t="s">
        <v>64</v>
      </c>
      <c r="L468" s="30" t="s">
        <v>57</v>
      </c>
      <c r="M468" s="30" t="n">
        <v>1958</v>
      </c>
      <c r="N468" s="30" t="s">
        <v>58</v>
      </c>
      <c r="O468" s="30" t="n">
        <v>3</v>
      </c>
      <c r="P468" s="30" t="n">
        <v>0</v>
      </c>
      <c r="Q468" s="30" t="n">
        <v>2</v>
      </c>
      <c r="R468" s="30" t="n">
        <v>27</v>
      </c>
      <c r="S468" s="30" t="n">
        <v>1319</v>
      </c>
      <c r="T468" s="30" t="n">
        <v>1319</v>
      </c>
      <c r="U468" s="30" t="n">
        <v>1319</v>
      </c>
      <c r="V468" s="30"/>
      <c r="W468" s="30" t="s">
        <v>53</v>
      </c>
      <c r="X468" s="30" t="s">
        <v>53</v>
      </c>
      <c r="Y468" s="30" t="s">
        <v>53</v>
      </c>
      <c r="Z468" s="30" t="s">
        <v>53</v>
      </c>
      <c r="AA468" s="30" t="s">
        <v>53</v>
      </c>
      <c r="AB468" s="30" t="s">
        <v>53</v>
      </c>
      <c r="AC468" s="30" t="s">
        <v>53</v>
      </c>
      <c r="AD468" s="30" t="s">
        <v>53</v>
      </c>
      <c r="AE468" s="30" t="s">
        <v>54</v>
      </c>
      <c r="AF468" s="30" t="n">
        <v>0</v>
      </c>
      <c r="AG468" s="30" t="n">
        <v>0</v>
      </c>
      <c r="AH468" s="30" t="n">
        <v>2</v>
      </c>
      <c r="AI468" s="30" t="n">
        <v>0</v>
      </c>
      <c r="AJ468" s="30" t="n">
        <v>0</v>
      </c>
      <c r="AK468" s="30" t="n">
        <v>0</v>
      </c>
      <c r="AL468" s="26"/>
    </row>
    <row collapsed="false" customFormat="false" customHeight="false" hidden="false" ht="14.5" outlineLevel="0" r="469">
      <c r="A469" s="30" t="n">
        <v>460</v>
      </c>
      <c r="B469" s="30" t="s">
        <v>45</v>
      </c>
      <c r="C469" s="30" t="s">
        <v>59</v>
      </c>
      <c r="D469" s="30" t="s">
        <v>619</v>
      </c>
      <c r="E469" s="30" t="n">
        <v>56</v>
      </c>
      <c r="F469" s="30"/>
      <c r="G469" s="30"/>
      <c r="H469" s="30" t="s">
        <v>646</v>
      </c>
      <c r="I469" s="30" t="s">
        <v>56</v>
      </c>
      <c r="J469" s="30"/>
      <c r="K469" s="30" t="s">
        <v>64</v>
      </c>
      <c r="L469" s="30" t="s">
        <v>57</v>
      </c>
      <c r="M469" s="30" t="n">
        <v>1958</v>
      </c>
      <c r="N469" s="30" t="s">
        <v>58</v>
      </c>
      <c r="O469" s="30" t="s">
        <v>647</v>
      </c>
      <c r="P469" s="30" t="n">
        <v>0</v>
      </c>
      <c r="Q469" s="30" t="n">
        <v>4</v>
      </c>
      <c r="R469" s="30" t="n">
        <v>32</v>
      </c>
      <c r="S469" s="30" t="n">
        <v>3248.6</v>
      </c>
      <c r="T469" s="30" t="n">
        <v>3248.6</v>
      </c>
      <c r="U469" s="30" t="n">
        <v>2796</v>
      </c>
      <c r="V469" s="30" t="n">
        <v>452.6</v>
      </c>
      <c r="W469" s="30" t="s">
        <v>53</v>
      </c>
      <c r="X469" s="30" t="s">
        <v>53</v>
      </c>
      <c r="Y469" s="30" t="s">
        <v>53</v>
      </c>
      <c r="Z469" s="30" t="s">
        <v>53</v>
      </c>
      <c r="AA469" s="30" t="s">
        <v>53</v>
      </c>
      <c r="AB469" s="30" t="s">
        <v>53</v>
      </c>
      <c r="AC469" s="30" t="s">
        <v>53</v>
      </c>
      <c r="AD469" s="30" t="s">
        <v>53</v>
      </c>
      <c r="AE469" s="30" t="s">
        <v>54</v>
      </c>
      <c r="AF469" s="30" t="n">
        <v>0</v>
      </c>
      <c r="AG469" s="30" t="n">
        <v>0</v>
      </c>
      <c r="AH469" s="30" t="n">
        <v>1</v>
      </c>
      <c r="AI469" s="30" t="n">
        <v>0</v>
      </c>
      <c r="AJ469" s="30" t="n">
        <v>1</v>
      </c>
      <c r="AK469" s="30" t="n">
        <v>0</v>
      </c>
      <c r="AL469" s="26"/>
    </row>
    <row collapsed="false" customFormat="false" customHeight="false" hidden="false" ht="14.5" outlineLevel="0" r="470">
      <c r="A470" s="30" t="n">
        <v>461</v>
      </c>
      <c r="B470" s="30" t="s">
        <v>45</v>
      </c>
      <c r="C470" s="30" t="s">
        <v>59</v>
      </c>
      <c r="D470" s="30" t="s">
        <v>619</v>
      </c>
      <c r="E470" s="30" t="n">
        <v>58</v>
      </c>
      <c r="F470" s="30"/>
      <c r="G470" s="30"/>
      <c r="H470" s="30" t="s">
        <v>648</v>
      </c>
      <c r="I470" s="30" t="s">
        <v>56</v>
      </c>
      <c r="J470" s="30"/>
      <c r="K470" s="30" t="s">
        <v>64</v>
      </c>
      <c r="L470" s="30" t="s">
        <v>57</v>
      </c>
      <c r="M470" s="30" t="n">
        <v>1958</v>
      </c>
      <c r="N470" s="30" t="s">
        <v>58</v>
      </c>
      <c r="O470" s="30" t="n">
        <v>3</v>
      </c>
      <c r="P470" s="30" t="n">
        <v>0</v>
      </c>
      <c r="Q470" s="30" t="n">
        <v>2</v>
      </c>
      <c r="R470" s="30" t="n">
        <v>28</v>
      </c>
      <c r="S470" s="30" t="n">
        <v>1326</v>
      </c>
      <c r="T470" s="30" t="n">
        <v>1326</v>
      </c>
      <c r="U470" s="30" t="n">
        <v>1326</v>
      </c>
      <c r="V470" s="30"/>
      <c r="W470" s="30" t="s">
        <v>53</v>
      </c>
      <c r="X470" s="30" t="s">
        <v>53</v>
      </c>
      <c r="Y470" s="30" t="s">
        <v>53</v>
      </c>
      <c r="Z470" s="30" t="s">
        <v>53</v>
      </c>
      <c r="AA470" s="30" t="s">
        <v>53</v>
      </c>
      <c r="AB470" s="30" t="s">
        <v>53</v>
      </c>
      <c r="AC470" s="30" t="s">
        <v>53</v>
      </c>
      <c r="AD470" s="30" t="s">
        <v>53</v>
      </c>
      <c r="AE470" s="30" t="s">
        <v>54</v>
      </c>
      <c r="AF470" s="30" t="n">
        <v>0</v>
      </c>
      <c r="AG470" s="30" t="n">
        <v>0</v>
      </c>
      <c r="AH470" s="30" t="n">
        <v>1</v>
      </c>
      <c r="AI470" s="30" t="n">
        <v>0</v>
      </c>
      <c r="AJ470" s="30" t="n">
        <v>0</v>
      </c>
      <c r="AK470" s="30" t="n">
        <v>0</v>
      </c>
      <c r="AL470" s="26"/>
    </row>
    <row collapsed="false" customFormat="false" customHeight="false" hidden="false" ht="14.5" outlineLevel="0" r="471">
      <c r="A471" s="30" t="n">
        <v>462</v>
      </c>
      <c r="B471" s="30" t="s">
        <v>45</v>
      </c>
      <c r="C471" s="30" t="s">
        <v>206</v>
      </c>
      <c r="D471" s="30" t="s">
        <v>649</v>
      </c>
      <c r="E471" s="30" t="n">
        <v>63</v>
      </c>
      <c r="F471" s="30"/>
      <c r="G471" s="30"/>
      <c r="H471" s="30" t="s">
        <v>650</v>
      </c>
      <c r="I471" s="30" t="s">
        <v>56</v>
      </c>
      <c r="J471" s="30"/>
      <c r="K471" s="30" t="s">
        <v>64</v>
      </c>
      <c r="L471" s="30" t="s">
        <v>51</v>
      </c>
      <c r="M471" s="30" t="n">
        <v>1961</v>
      </c>
      <c r="N471" s="30" t="s">
        <v>58</v>
      </c>
      <c r="O471" s="30" t="n">
        <v>3</v>
      </c>
      <c r="P471" s="30" t="n">
        <v>0</v>
      </c>
      <c r="Q471" s="30" t="n">
        <v>2</v>
      </c>
      <c r="R471" s="30" t="n">
        <v>24</v>
      </c>
      <c r="S471" s="30" t="n">
        <v>935.9</v>
      </c>
      <c r="T471" s="30" t="n">
        <v>935.9</v>
      </c>
      <c r="U471" s="30" t="n">
        <v>935.9</v>
      </c>
      <c r="V471" s="30"/>
      <c r="W471" s="30" t="s">
        <v>53</v>
      </c>
      <c r="X471" s="30" t="s">
        <v>53</v>
      </c>
      <c r="Y471" s="30" t="s">
        <v>54</v>
      </c>
      <c r="Z471" s="30" t="s">
        <v>53</v>
      </c>
      <c r="AA471" s="30" t="s">
        <v>53</v>
      </c>
      <c r="AB471" s="30" t="s">
        <v>53</v>
      </c>
      <c r="AC471" s="30" t="s">
        <v>53</v>
      </c>
      <c r="AD471" s="30" t="s">
        <v>53</v>
      </c>
      <c r="AE471" s="30" t="s">
        <v>54</v>
      </c>
      <c r="AF471" s="30" t="n">
        <v>0</v>
      </c>
      <c r="AG471" s="30" t="n">
        <v>0</v>
      </c>
      <c r="AH471" s="30" t="n">
        <v>0</v>
      </c>
      <c r="AI471" s="30" t="n">
        <v>0</v>
      </c>
      <c r="AJ471" s="30" t="n">
        <v>1</v>
      </c>
      <c r="AK471" s="30" t="n">
        <v>0</v>
      </c>
      <c r="AL471" s="26"/>
    </row>
    <row collapsed="false" customFormat="false" customHeight="false" hidden="false" ht="14.5" outlineLevel="0" r="472">
      <c r="A472" s="30" t="n">
        <v>463</v>
      </c>
      <c r="B472" s="30" t="s">
        <v>45</v>
      </c>
      <c r="C472" s="30" t="s">
        <v>206</v>
      </c>
      <c r="D472" s="30" t="s">
        <v>649</v>
      </c>
      <c r="E472" s="30" t="n">
        <v>63</v>
      </c>
      <c r="F472" s="30" t="s">
        <v>67</v>
      </c>
      <c r="G472" s="30"/>
      <c r="H472" s="30" t="s">
        <v>651</v>
      </c>
      <c r="I472" s="30" t="s">
        <v>56</v>
      </c>
      <c r="J472" s="30"/>
      <c r="K472" s="30" t="s">
        <v>64</v>
      </c>
      <c r="L472" s="30"/>
      <c r="M472" s="30" t="n">
        <v>1961</v>
      </c>
      <c r="N472" s="30" t="s">
        <v>58</v>
      </c>
      <c r="O472" s="30" t="n">
        <v>3</v>
      </c>
      <c r="P472" s="30" t="n">
        <v>0</v>
      </c>
      <c r="Q472" s="30" t="n">
        <v>3</v>
      </c>
      <c r="R472" s="30" t="n">
        <v>28</v>
      </c>
      <c r="S472" s="30" t="n">
        <v>1483.6</v>
      </c>
      <c r="T472" s="30" t="n">
        <v>1483.6</v>
      </c>
      <c r="U472" s="30" t="n">
        <v>1121.6</v>
      </c>
      <c r="V472" s="30" t="n">
        <v>362</v>
      </c>
      <c r="W472" s="30" t="s">
        <v>53</v>
      </c>
      <c r="X472" s="30" t="s">
        <v>53</v>
      </c>
      <c r="Y472" s="30" t="s">
        <v>54</v>
      </c>
      <c r="Z472" s="30" t="s">
        <v>53</v>
      </c>
      <c r="AA472" s="30" t="s">
        <v>53</v>
      </c>
      <c r="AB472" s="30" t="s">
        <v>53</v>
      </c>
      <c r="AC472" s="30" t="s">
        <v>53</v>
      </c>
      <c r="AD472" s="30" t="s">
        <v>53</v>
      </c>
      <c r="AE472" s="30" t="s">
        <v>54</v>
      </c>
      <c r="AF472" s="30" t="n">
        <v>0</v>
      </c>
      <c r="AG472" s="30" t="n">
        <v>0</v>
      </c>
      <c r="AH472" s="30" t="n">
        <v>0</v>
      </c>
      <c r="AI472" s="30" t="n">
        <v>0</v>
      </c>
      <c r="AJ472" s="30" t="n">
        <v>1</v>
      </c>
      <c r="AK472" s="30" t="n">
        <v>0</v>
      </c>
      <c r="AL472" s="26"/>
    </row>
    <row collapsed="false" customFormat="false" customHeight="false" hidden="false" ht="14.5" outlineLevel="0" r="473">
      <c r="A473" s="30" t="n">
        <v>464</v>
      </c>
      <c r="B473" s="30" t="s">
        <v>45</v>
      </c>
      <c r="C473" s="30" t="s">
        <v>206</v>
      </c>
      <c r="D473" s="30" t="s">
        <v>649</v>
      </c>
      <c r="E473" s="30" t="n">
        <v>63</v>
      </c>
      <c r="F473" s="30" t="s">
        <v>69</v>
      </c>
      <c r="G473" s="30"/>
      <c r="H473" s="30" t="s">
        <v>652</v>
      </c>
      <c r="I473" s="30" t="s">
        <v>56</v>
      </c>
      <c r="J473" s="30"/>
      <c r="K473" s="30" t="s">
        <v>64</v>
      </c>
      <c r="L473" s="30"/>
      <c r="M473" s="30" t="n">
        <v>1962</v>
      </c>
      <c r="N473" s="30" t="s">
        <v>58</v>
      </c>
      <c r="O473" s="30" t="n">
        <v>3</v>
      </c>
      <c r="P473" s="30" t="n">
        <v>0</v>
      </c>
      <c r="Q473" s="30" t="n">
        <v>2</v>
      </c>
      <c r="R473" s="30" t="n">
        <v>24</v>
      </c>
      <c r="S473" s="30" t="n">
        <v>950.7</v>
      </c>
      <c r="T473" s="30" t="n">
        <v>950.7</v>
      </c>
      <c r="U473" s="30" t="n">
        <v>950.7</v>
      </c>
      <c r="V473" s="30"/>
      <c r="W473" s="30" t="s">
        <v>53</v>
      </c>
      <c r="X473" s="30" t="s">
        <v>53</v>
      </c>
      <c r="Y473" s="30" t="s">
        <v>54</v>
      </c>
      <c r="Z473" s="30" t="s">
        <v>53</v>
      </c>
      <c r="AA473" s="30" t="s">
        <v>53</v>
      </c>
      <c r="AB473" s="30" t="s">
        <v>53</v>
      </c>
      <c r="AC473" s="30" t="s">
        <v>53</v>
      </c>
      <c r="AD473" s="30" t="s">
        <v>53</v>
      </c>
      <c r="AE473" s="30" t="s">
        <v>54</v>
      </c>
      <c r="AF473" s="30" t="n">
        <v>0</v>
      </c>
      <c r="AG473" s="30" t="n">
        <v>0</v>
      </c>
      <c r="AH473" s="30" t="n">
        <v>0</v>
      </c>
      <c r="AI473" s="30" t="n">
        <v>0</v>
      </c>
      <c r="AJ473" s="30" t="n">
        <v>1</v>
      </c>
      <c r="AK473" s="30" t="n">
        <v>0</v>
      </c>
      <c r="AL473" s="26"/>
    </row>
    <row collapsed="false" customFormat="false" customHeight="false" hidden="false" ht="14.5" outlineLevel="0" r="474">
      <c r="A474" s="30" t="n">
        <v>465</v>
      </c>
      <c r="B474" s="30" t="s">
        <v>45</v>
      </c>
      <c r="C474" s="30" t="s">
        <v>206</v>
      </c>
      <c r="D474" s="30" t="s">
        <v>649</v>
      </c>
      <c r="E474" s="30" t="n">
        <v>63</v>
      </c>
      <c r="F474" s="30" t="s">
        <v>113</v>
      </c>
      <c r="G474" s="30"/>
      <c r="H474" s="30" t="s">
        <v>653</v>
      </c>
      <c r="I474" s="30" t="s">
        <v>56</v>
      </c>
      <c r="J474" s="30"/>
      <c r="K474" s="30" t="s">
        <v>64</v>
      </c>
      <c r="L474" s="30" t="s">
        <v>51</v>
      </c>
      <c r="M474" s="30" t="n">
        <v>1962</v>
      </c>
      <c r="N474" s="30" t="s">
        <v>58</v>
      </c>
      <c r="O474" s="30" t="n">
        <v>3</v>
      </c>
      <c r="P474" s="30" t="n">
        <v>0</v>
      </c>
      <c r="Q474" s="30" t="n">
        <v>3</v>
      </c>
      <c r="R474" s="30" t="n">
        <v>36</v>
      </c>
      <c r="S474" s="30" t="n">
        <v>1491.1</v>
      </c>
      <c r="T474" s="30" t="n">
        <v>1491.1</v>
      </c>
      <c r="U474" s="30" t="n">
        <v>1491.1</v>
      </c>
      <c r="V474" s="30"/>
      <c r="W474" s="30" t="s">
        <v>53</v>
      </c>
      <c r="X474" s="30" t="s">
        <v>53</v>
      </c>
      <c r="Y474" s="30" t="s">
        <v>54</v>
      </c>
      <c r="Z474" s="30" t="s">
        <v>53</v>
      </c>
      <c r="AA474" s="30" t="s">
        <v>53</v>
      </c>
      <c r="AB474" s="30" t="s">
        <v>53</v>
      </c>
      <c r="AC474" s="30" t="s">
        <v>53</v>
      </c>
      <c r="AD474" s="30" t="s">
        <v>53</v>
      </c>
      <c r="AE474" s="30" t="s">
        <v>54</v>
      </c>
      <c r="AF474" s="30" t="n">
        <v>0</v>
      </c>
      <c r="AG474" s="30" t="n">
        <v>0</v>
      </c>
      <c r="AH474" s="30" t="n">
        <v>0</v>
      </c>
      <c r="AI474" s="30" t="n">
        <v>0</v>
      </c>
      <c r="AJ474" s="30" t="n">
        <v>1</v>
      </c>
      <c r="AK474" s="30" t="n">
        <v>0</v>
      </c>
      <c r="AL474" s="26"/>
    </row>
    <row collapsed="false" customFormat="false" customHeight="false" hidden="false" ht="14.5" outlineLevel="0" r="475">
      <c r="A475" s="30" t="n">
        <v>466</v>
      </c>
      <c r="B475" s="30" t="s">
        <v>45</v>
      </c>
      <c r="C475" s="30" t="s">
        <v>206</v>
      </c>
      <c r="D475" s="30" t="s">
        <v>649</v>
      </c>
      <c r="E475" s="30" t="n">
        <v>65</v>
      </c>
      <c r="F475" s="30"/>
      <c r="G475" s="30"/>
      <c r="H475" s="30" t="s">
        <v>654</v>
      </c>
      <c r="I475" s="30" t="s">
        <v>56</v>
      </c>
      <c r="J475" s="30"/>
      <c r="K475" s="30" t="s">
        <v>64</v>
      </c>
      <c r="L475" s="30"/>
      <c r="M475" s="30" t="n">
        <v>1960</v>
      </c>
      <c r="N475" s="30" t="s">
        <v>58</v>
      </c>
      <c r="O475" s="30" t="n">
        <v>3</v>
      </c>
      <c r="P475" s="30" t="n">
        <v>0</v>
      </c>
      <c r="Q475" s="30" t="n">
        <v>2</v>
      </c>
      <c r="R475" s="30" t="n">
        <v>24</v>
      </c>
      <c r="S475" s="30" t="n">
        <v>1058.7</v>
      </c>
      <c r="T475" s="30" t="n">
        <v>1058.7</v>
      </c>
      <c r="U475" s="30" t="n">
        <v>1058.7</v>
      </c>
      <c r="V475" s="30"/>
      <c r="W475" s="30" t="s">
        <v>53</v>
      </c>
      <c r="X475" s="30" t="s">
        <v>53</v>
      </c>
      <c r="Y475" s="30" t="s">
        <v>54</v>
      </c>
      <c r="Z475" s="30" t="s">
        <v>53</v>
      </c>
      <c r="AA475" s="30" t="s">
        <v>53</v>
      </c>
      <c r="AB475" s="30" t="s">
        <v>53</v>
      </c>
      <c r="AC475" s="30" t="s">
        <v>53</v>
      </c>
      <c r="AD475" s="30" t="s">
        <v>53</v>
      </c>
      <c r="AE475" s="30" t="s">
        <v>54</v>
      </c>
      <c r="AF475" s="30" t="n">
        <v>0</v>
      </c>
      <c r="AG475" s="30" t="n">
        <v>0</v>
      </c>
      <c r="AH475" s="30" t="n">
        <v>1</v>
      </c>
      <c r="AI475" s="30" t="n">
        <v>0</v>
      </c>
      <c r="AJ475" s="30" t="n">
        <v>1</v>
      </c>
      <c r="AK475" s="30" t="n">
        <v>0</v>
      </c>
      <c r="AL475" s="26"/>
    </row>
    <row collapsed="false" customFormat="false" customHeight="false" hidden="false" ht="14.5" outlineLevel="0" r="476">
      <c r="A476" s="30" t="n">
        <v>467</v>
      </c>
      <c r="B476" s="30" t="s">
        <v>45</v>
      </c>
      <c r="C476" s="30" t="s">
        <v>206</v>
      </c>
      <c r="D476" s="30" t="s">
        <v>649</v>
      </c>
      <c r="E476" s="30" t="n">
        <v>66</v>
      </c>
      <c r="F476" s="30" t="s">
        <v>67</v>
      </c>
      <c r="G476" s="30"/>
      <c r="H476" s="30" t="s">
        <v>655</v>
      </c>
      <c r="I476" s="30" t="s">
        <v>56</v>
      </c>
      <c r="J476" s="30"/>
      <c r="K476" s="30" t="s">
        <v>64</v>
      </c>
      <c r="L476" s="30" t="s">
        <v>51</v>
      </c>
      <c r="M476" s="30" t="n">
        <v>1958</v>
      </c>
      <c r="N476" s="30" t="s">
        <v>58</v>
      </c>
      <c r="O476" s="30" t="n">
        <v>3</v>
      </c>
      <c r="P476" s="30" t="n">
        <v>0</v>
      </c>
      <c r="Q476" s="30" t="n">
        <v>3</v>
      </c>
      <c r="R476" s="30" t="n">
        <v>27</v>
      </c>
      <c r="S476" s="30" t="n">
        <v>1447.9</v>
      </c>
      <c r="T476" s="30" t="n">
        <v>1447.9</v>
      </c>
      <c r="U476" s="30" t="n">
        <v>1447.9</v>
      </c>
      <c r="V476" s="30"/>
      <c r="W476" s="30" t="s">
        <v>53</v>
      </c>
      <c r="X476" s="30" t="s">
        <v>53</v>
      </c>
      <c r="Y476" s="30" t="s">
        <v>54</v>
      </c>
      <c r="Z476" s="30" t="s">
        <v>53</v>
      </c>
      <c r="AA476" s="30" t="s">
        <v>53</v>
      </c>
      <c r="AB476" s="30" t="s">
        <v>53</v>
      </c>
      <c r="AC476" s="30" t="s">
        <v>53</v>
      </c>
      <c r="AD476" s="30" t="s">
        <v>53</v>
      </c>
      <c r="AE476" s="30" t="s">
        <v>54</v>
      </c>
      <c r="AF476" s="30" t="n">
        <v>0</v>
      </c>
      <c r="AG476" s="30" t="n">
        <v>0</v>
      </c>
      <c r="AH476" s="30" t="n">
        <v>0</v>
      </c>
      <c r="AI476" s="30" t="n">
        <v>0</v>
      </c>
      <c r="AJ476" s="30" t="n">
        <v>1</v>
      </c>
      <c r="AK476" s="30" t="n">
        <v>0</v>
      </c>
      <c r="AL476" s="26"/>
    </row>
    <row collapsed="false" customFormat="false" customHeight="false" hidden="false" ht="14.5" outlineLevel="0" r="477">
      <c r="A477" s="30" t="n">
        <v>468</v>
      </c>
      <c r="B477" s="30" t="s">
        <v>45</v>
      </c>
      <c r="C477" s="30" t="s">
        <v>206</v>
      </c>
      <c r="D477" s="30" t="s">
        <v>649</v>
      </c>
      <c r="E477" s="30" t="n">
        <v>67</v>
      </c>
      <c r="F477" s="30"/>
      <c r="G477" s="30"/>
      <c r="H477" s="30" t="s">
        <v>656</v>
      </c>
      <c r="I477" s="30" t="s">
        <v>56</v>
      </c>
      <c r="J477" s="30"/>
      <c r="K477" s="30" t="s">
        <v>64</v>
      </c>
      <c r="L477" s="30"/>
      <c r="M477" s="30" t="n">
        <v>1963</v>
      </c>
      <c r="N477" s="30" t="s">
        <v>58</v>
      </c>
      <c r="O477" s="30" t="n">
        <v>3</v>
      </c>
      <c r="P477" s="30" t="n">
        <v>0</v>
      </c>
      <c r="Q477" s="30" t="n">
        <v>2</v>
      </c>
      <c r="R477" s="30" t="n">
        <v>23</v>
      </c>
      <c r="S477" s="30" t="n">
        <v>952.3</v>
      </c>
      <c r="T477" s="30" t="n">
        <v>952.3</v>
      </c>
      <c r="U477" s="30" t="n">
        <v>952.3</v>
      </c>
      <c r="V477" s="30"/>
      <c r="W477" s="30" t="s">
        <v>53</v>
      </c>
      <c r="X477" s="30" t="s">
        <v>53</v>
      </c>
      <c r="Y477" s="30" t="s">
        <v>54</v>
      </c>
      <c r="Z477" s="30" t="s">
        <v>53</v>
      </c>
      <c r="AA477" s="30" t="s">
        <v>53</v>
      </c>
      <c r="AB477" s="30" t="s">
        <v>53</v>
      </c>
      <c r="AC477" s="30" t="s">
        <v>53</v>
      </c>
      <c r="AD477" s="30" t="s">
        <v>53</v>
      </c>
      <c r="AE477" s="30" t="s">
        <v>54</v>
      </c>
      <c r="AF477" s="30" t="n">
        <v>0</v>
      </c>
      <c r="AG477" s="30" t="n">
        <v>0</v>
      </c>
      <c r="AH477" s="30" t="n">
        <v>0</v>
      </c>
      <c r="AI477" s="30" t="n">
        <v>0</v>
      </c>
      <c r="AJ477" s="30" t="n">
        <v>1</v>
      </c>
      <c r="AK477" s="30" t="n">
        <v>0</v>
      </c>
      <c r="AL477" s="26"/>
    </row>
    <row collapsed="false" customFormat="false" customHeight="false" hidden="false" ht="14.5" outlineLevel="0" r="478">
      <c r="A478" s="30" t="n">
        <v>469</v>
      </c>
      <c r="B478" s="30" t="s">
        <v>45</v>
      </c>
      <c r="C478" s="30" t="s">
        <v>206</v>
      </c>
      <c r="D478" s="30" t="s">
        <v>649</v>
      </c>
      <c r="E478" s="30" t="s">
        <v>657</v>
      </c>
      <c r="F478" s="30"/>
      <c r="G478" s="30"/>
      <c r="H478" s="30" t="s">
        <v>658</v>
      </c>
      <c r="I478" s="30" t="s">
        <v>56</v>
      </c>
      <c r="J478" s="30"/>
      <c r="K478" s="30" t="s">
        <v>64</v>
      </c>
      <c r="L478" s="30" t="s">
        <v>51</v>
      </c>
      <c r="M478" s="30" t="n">
        <v>1966</v>
      </c>
      <c r="N478" s="30" t="s">
        <v>58</v>
      </c>
      <c r="O478" s="30" t="n">
        <v>3</v>
      </c>
      <c r="P478" s="30" t="n">
        <v>0</v>
      </c>
      <c r="Q478" s="30" t="n">
        <v>3</v>
      </c>
      <c r="R478" s="30" t="n">
        <v>32</v>
      </c>
      <c r="S478" s="30" t="n">
        <v>1509.93</v>
      </c>
      <c r="T478" s="30" t="n">
        <v>1509.93</v>
      </c>
      <c r="U478" s="30" t="n">
        <v>1256.7</v>
      </c>
      <c r="V478" s="30" t="n">
        <v>253.23</v>
      </c>
      <c r="W478" s="30" t="s">
        <v>53</v>
      </c>
      <c r="X478" s="30" t="s">
        <v>53</v>
      </c>
      <c r="Y478" s="30" t="s">
        <v>54</v>
      </c>
      <c r="Z478" s="30" t="s">
        <v>53</v>
      </c>
      <c r="AA478" s="30" t="s">
        <v>53</v>
      </c>
      <c r="AB478" s="30" t="s">
        <v>53</v>
      </c>
      <c r="AC478" s="30" t="s">
        <v>53</v>
      </c>
      <c r="AD478" s="30" t="s">
        <v>53</v>
      </c>
      <c r="AE478" s="30" t="s">
        <v>54</v>
      </c>
      <c r="AF478" s="30" t="n">
        <v>0</v>
      </c>
      <c r="AG478" s="30" t="n">
        <v>0</v>
      </c>
      <c r="AH478" s="30" t="n">
        <v>0</v>
      </c>
      <c r="AI478" s="30" t="n">
        <v>0</v>
      </c>
      <c r="AJ478" s="30" t="n">
        <v>1</v>
      </c>
      <c r="AK478" s="30" t="n">
        <v>0</v>
      </c>
      <c r="AL478" s="26"/>
    </row>
    <row collapsed="false" customFormat="false" customHeight="false" hidden="false" ht="14.5" outlineLevel="0" r="479">
      <c r="A479" s="30" t="n">
        <v>470</v>
      </c>
      <c r="B479" s="30" t="s">
        <v>45</v>
      </c>
      <c r="C479" s="30" t="s">
        <v>206</v>
      </c>
      <c r="D479" s="30" t="s">
        <v>649</v>
      </c>
      <c r="E479" s="30" t="s">
        <v>659</v>
      </c>
      <c r="F479" s="30"/>
      <c r="G479" s="30"/>
      <c r="H479" s="30" t="s">
        <v>660</v>
      </c>
      <c r="I479" s="30" t="s">
        <v>56</v>
      </c>
      <c r="J479" s="30"/>
      <c r="K479" s="30" t="s">
        <v>64</v>
      </c>
      <c r="L479" s="30" t="s">
        <v>51</v>
      </c>
      <c r="M479" s="30" t="n">
        <v>1957</v>
      </c>
      <c r="N479" s="30" t="s">
        <v>58</v>
      </c>
      <c r="O479" s="30" t="n">
        <v>4</v>
      </c>
      <c r="P479" s="30" t="n">
        <v>0</v>
      </c>
      <c r="Q479" s="30" t="n">
        <v>6</v>
      </c>
      <c r="R479" s="30" t="n">
        <v>39</v>
      </c>
      <c r="S479" s="30" t="n">
        <v>4027.3</v>
      </c>
      <c r="T479" s="30" t="n">
        <v>4027.3</v>
      </c>
      <c r="U479" s="30" t="n">
        <v>3457</v>
      </c>
      <c r="V479" s="30" t="n">
        <v>570.3</v>
      </c>
      <c r="W479" s="30" t="s">
        <v>53</v>
      </c>
      <c r="X479" s="30" t="s">
        <v>53</v>
      </c>
      <c r="Y479" s="30" t="s">
        <v>54</v>
      </c>
      <c r="Z479" s="30" t="s">
        <v>53</v>
      </c>
      <c r="AA479" s="30" t="s">
        <v>53</v>
      </c>
      <c r="AB479" s="30" t="s">
        <v>53</v>
      </c>
      <c r="AC479" s="30" t="s">
        <v>53</v>
      </c>
      <c r="AD479" s="30" t="s">
        <v>53</v>
      </c>
      <c r="AE479" s="30" t="s">
        <v>54</v>
      </c>
      <c r="AF479" s="30" t="n">
        <v>0</v>
      </c>
      <c r="AG479" s="30" t="n">
        <v>0</v>
      </c>
      <c r="AH479" s="30" t="n">
        <v>1</v>
      </c>
      <c r="AI479" s="30" t="n">
        <v>0</v>
      </c>
      <c r="AJ479" s="30" t="n">
        <v>1</v>
      </c>
      <c r="AK479" s="30" t="n">
        <v>0</v>
      </c>
      <c r="AL479" s="26"/>
    </row>
    <row collapsed="false" customFormat="false" customHeight="false" hidden="false" ht="14.5" outlineLevel="0" r="480">
      <c r="A480" s="30" t="n">
        <v>471</v>
      </c>
      <c r="B480" s="30" t="s">
        <v>45</v>
      </c>
      <c r="C480" s="30" t="s">
        <v>206</v>
      </c>
      <c r="D480" s="30" t="s">
        <v>649</v>
      </c>
      <c r="E480" s="30" t="n">
        <v>69</v>
      </c>
      <c r="F480" s="30"/>
      <c r="G480" s="30"/>
      <c r="H480" s="30" t="s">
        <v>661</v>
      </c>
      <c r="I480" s="30" t="s">
        <v>56</v>
      </c>
      <c r="J480" s="30" t="s">
        <v>662</v>
      </c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26"/>
    </row>
    <row collapsed="false" customFormat="false" customHeight="false" hidden="false" ht="14.5" outlineLevel="0" r="481">
      <c r="A481" s="30" t="n">
        <v>472</v>
      </c>
      <c r="B481" s="30" t="s">
        <v>45</v>
      </c>
      <c r="C481" s="30" t="s">
        <v>206</v>
      </c>
      <c r="D481" s="30" t="s">
        <v>663</v>
      </c>
      <c r="E481" s="30" t="n">
        <v>82</v>
      </c>
      <c r="F481" s="30"/>
      <c r="G481" s="30"/>
      <c r="H481" s="30" t="s">
        <v>664</v>
      </c>
      <c r="I481" s="30" t="s">
        <v>56</v>
      </c>
      <c r="J481" s="30"/>
      <c r="K481" s="30" t="s">
        <v>81</v>
      </c>
      <c r="L481" s="30" t="s">
        <v>51</v>
      </c>
      <c r="M481" s="30" t="n">
        <v>1953</v>
      </c>
      <c r="N481" s="30" t="s">
        <v>58</v>
      </c>
      <c r="O481" s="30" t="n">
        <v>3</v>
      </c>
      <c r="P481" s="30" t="n">
        <v>0</v>
      </c>
      <c r="Q481" s="30" t="n">
        <v>2</v>
      </c>
      <c r="R481" s="30" t="n">
        <v>11</v>
      </c>
      <c r="S481" s="30" t="n">
        <v>966</v>
      </c>
      <c r="T481" s="30" t="n">
        <v>966</v>
      </c>
      <c r="U481" s="30" t="n">
        <v>820.8</v>
      </c>
      <c r="V481" s="30" t="n">
        <v>145.2</v>
      </c>
      <c r="W481" s="30" t="s">
        <v>53</v>
      </c>
      <c r="X481" s="30" t="s">
        <v>53</v>
      </c>
      <c r="Y481" s="30" t="s">
        <v>54</v>
      </c>
      <c r="Z481" s="30" t="s">
        <v>53</v>
      </c>
      <c r="AA481" s="30" t="s">
        <v>53</v>
      </c>
      <c r="AB481" s="30" t="s">
        <v>53</v>
      </c>
      <c r="AC481" s="30" t="s">
        <v>53</v>
      </c>
      <c r="AD481" s="30" t="s">
        <v>53</v>
      </c>
      <c r="AE481" s="30" t="s">
        <v>54</v>
      </c>
      <c r="AF481" s="30" t="n">
        <v>0</v>
      </c>
      <c r="AG481" s="30" t="n">
        <v>0</v>
      </c>
      <c r="AH481" s="30" t="n">
        <v>0</v>
      </c>
      <c r="AI481" s="30" t="n">
        <v>0</v>
      </c>
      <c r="AJ481" s="30" t="n">
        <v>1</v>
      </c>
      <c r="AK481" s="30" t="n">
        <v>0</v>
      </c>
      <c r="AL481" s="26"/>
    </row>
    <row collapsed="false" customFormat="false" customHeight="false" hidden="false" ht="14.5" outlineLevel="0" r="482">
      <c r="A482" s="30" t="n">
        <v>473</v>
      </c>
      <c r="B482" s="30" t="s">
        <v>45</v>
      </c>
      <c r="C482" s="30" t="s">
        <v>206</v>
      </c>
      <c r="D482" s="30" t="s">
        <v>649</v>
      </c>
      <c r="E482" s="30" t="n">
        <v>82</v>
      </c>
      <c r="F482" s="30" t="s">
        <v>67</v>
      </c>
      <c r="G482" s="30"/>
      <c r="H482" s="30" t="s">
        <v>665</v>
      </c>
      <c r="I482" s="30" t="s">
        <v>56</v>
      </c>
      <c r="J482" s="30" t="s">
        <v>86</v>
      </c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26"/>
    </row>
    <row collapsed="false" customFormat="false" customHeight="false" hidden="false" ht="14.5" outlineLevel="0" r="483">
      <c r="A483" s="30" t="n">
        <v>474</v>
      </c>
      <c r="B483" s="30" t="s">
        <v>45</v>
      </c>
      <c r="C483" s="30" t="s">
        <v>206</v>
      </c>
      <c r="D483" s="30" t="s">
        <v>649</v>
      </c>
      <c r="E483" s="30" t="n">
        <v>84</v>
      </c>
      <c r="F483" s="30"/>
      <c r="G483" s="30"/>
      <c r="H483" s="30" t="s">
        <v>666</v>
      </c>
      <c r="I483" s="30" t="s">
        <v>56</v>
      </c>
      <c r="J483" s="30"/>
      <c r="K483" s="30" t="s">
        <v>81</v>
      </c>
      <c r="L483" s="30" t="s">
        <v>51</v>
      </c>
      <c r="M483" s="30" t="n">
        <v>1954</v>
      </c>
      <c r="N483" s="30" t="s">
        <v>58</v>
      </c>
      <c r="O483" s="30" t="n">
        <v>3</v>
      </c>
      <c r="P483" s="30" t="n">
        <v>0</v>
      </c>
      <c r="Q483" s="30" t="n">
        <v>3</v>
      </c>
      <c r="R483" s="30" t="n">
        <v>13</v>
      </c>
      <c r="S483" s="30" t="n">
        <v>1501.2</v>
      </c>
      <c r="T483" s="30" t="n">
        <v>1501.2</v>
      </c>
      <c r="U483" s="30" t="n">
        <v>982.9</v>
      </c>
      <c r="V483" s="30" t="n">
        <v>518.3</v>
      </c>
      <c r="W483" s="30" t="s">
        <v>53</v>
      </c>
      <c r="X483" s="30" t="s">
        <v>53</v>
      </c>
      <c r="Y483" s="30" t="s">
        <v>54</v>
      </c>
      <c r="Z483" s="30" t="s">
        <v>53</v>
      </c>
      <c r="AA483" s="30" t="s">
        <v>53</v>
      </c>
      <c r="AB483" s="30" t="s">
        <v>53</v>
      </c>
      <c r="AC483" s="30" t="s">
        <v>53</v>
      </c>
      <c r="AD483" s="30" t="s">
        <v>53</v>
      </c>
      <c r="AE483" s="30" t="s">
        <v>54</v>
      </c>
      <c r="AF483" s="30" t="n">
        <v>0</v>
      </c>
      <c r="AG483" s="30" t="n">
        <v>0</v>
      </c>
      <c r="AH483" s="30" t="n">
        <v>0</v>
      </c>
      <c r="AI483" s="30" t="n">
        <v>0</v>
      </c>
      <c r="AJ483" s="30" t="n">
        <v>1</v>
      </c>
      <c r="AK483" s="30" t="n">
        <v>0</v>
      </c>
      <c r="AL483" s="26"/>
    </row>
    <row collapsed="false" customFormat="false" customHeight="false" hidden="false" ht="14.5" outlineLevel="0" r="484">
      <c r="A484" s="30" t="n">
        <v>475</v>
      </c>
      <c r="B484" s="30" t="s">
        <v>45</v>
      </c>
      <c r="C484" s="30" t="s">
        <v>206</v>
      </c>
      <c r="D484" s="30" t="s">
        <v>649</v>
      </c>
      <c r="E484" s="30" t="n">
        <v>86</v>
      </c>
      <c r="F484" s="30"/>
      <c r="G484" s="30"/>
      <c r="H484" s="30" t="s">
        <v>667</v>
      </c>
      <c r="I484" s="30" t="s">
        <v>56</v>
      </c>
      <c r="J484" s="30"/>
      <c r="K484" s="30" t="s">
        <v>81</v>
      </c>
      <c r="L484" s="30" t="s">
        <v>51</v>
      </c>
      <c r="M484" s="30" t="n">
        <v>1955</v>
      </c>
      <c r="N484" s="30" t="s">
        <v>58</v>
      </c>
      <c r="O484" s="30" t="n">
        <v>3</v>
      </c>
      <c r="P484" s="30" t="n">
        <v>0</v>
      </c>
      <c r="Q484" s="30" t="n">
        <v>4</v>
      </c>
      <c r="R484" s="30" t="n">
        <v>30</v>
      </c>
      <c r="S484" s="30" t="n">
        <v>2114.6</v>
      </c>
      <c r="T484" s="30" t="n">
        <v>2114.6</v>
      </c>
      <c r="U484" s="30" t="n">
        <v>2114.6</v>
      </c>
      <c r="V484" s="30"/>
      <c r="W484" s="30" t="s">
        <v>53</v>
      </c>
      <c r="X484" s="30" t="s">
        <v>53</v>
      </c>
      <c r="Y484" s="30" t="s">
        <v>54</v>
      </c>
      <c r="Z484" s="30" t="s">
        <v>53</v>
      </c>
      <c r="AA484" s="30" t="s">
        <v>53</v>
      </c>
      <c r="AB484" s="30" t="s">
        <v>53</v>
      </c>
      <c r="AC484" s="30" t="s">
        <v>53</v>
      </c>
      <c r="AD484" s="30" t="s">
        <v>53</v>
      </c>
      <c r="AE484" s="30" t="s">
        <v>54</v>
      </c>
      <c r="AF484" s="30" t="n">
        <v>0</v>
      </c>
      <c r="AG484" s="30" t="n">
        <v>0</v>
      </c>
      <c r="AH484" s="30" t="n">
        <v>0</v>
      </c>
      <c r="AI484" s="30" t="n">
        <v>0</v>
      </c>
      <c r="AJ484" s="30" t="n">
        <v>1</v>
      </c>
      <c r="AK484" s="30" t="n">
        <v>0</v>
      </c>
      <c r="AL484" s="26"/>
    </row>
    <row collapsed="false" customFormat="false" customHeight="false" hidden="false" ht="14.5" outlineLevel="0" r="485">
      <c r="A485" s="30" t="n">
        <v>476</v>
      </c>
      <c r="B485" s="30" t="s">
        <v>45</v>
      </c>
      <c r="C485" s="30" t="s">
        <v>206</v>
      </c>
      <c r="D485" s="30" t="s">
        <v>649</v>
      </c>
      <c r="E485" s="30" t="n">
        <v>90</v>
      </c>
      <c r="F485" s="30"/>
      <c r="G485" s="30"/>
      <c r="H485" s="30" t="s">
        <v>668</v>
      </c>
      <c r="I485" s="30" t="s">
        <v>56</v>
      </c>
      <c r="J485" s="30"/>
      <c r="K485" s="30" t="s">
        <v>64</v>
      </c>
      <c r="L485" s="30"/>
      <c r="M485" s="30" t="n">
        <v>1961</v>
      </c>
      <c r="N485" s="30" t="s">
        <v>58</v>
      </c>
      <c r="O485" s="30" t="n">
        <v>3</v>
      </c>
      <c r="P485" s="30" t="n">
        <v>0</v>
      </c>
      <c r="Q485" s="30" t="n">
        <v>2</v>
      </c>
      <c r="R485" s="30" t="n">
        <v>24</v>
      </c>
      <c r="S485" s="30" t="n">
        <v>946.4</v>
      </c>
      <c r="T485" s="30" t="n">
        <v>946.4</v>
      </c>
      <c r="U485" s="30" t="n">
        <v>946.4</v>
      </c>
      <c r="V485" s="30"/>
      <c r="W485" s="30" t="s">
        <v>53</v>
      </c>
      <c r="X485" s="30" t="s">
        <v>53</v>
      </c>
      <c r="Y485" s="30" t="s">
        <v>54</v>
      </c>
      <c r="Z485" s="30" t="s">
        <v>53</v>
      </c>
      <c r="AA485" s="30" t="s">
        <v>53</v>
      </c>
      <c r="AB485" s="30" t="s">
        <v>53</v>
      </c>
      <c r="AC485" s="30" t="s">
        <v>53</v>
      </c>
      <c r="AD485" s="30" t="s">
        <v>53</v>
      </c>
      <c r="AE485" s="30" t="s">
        <v>54</v>
      </c>
      <c r="AF485" s="30" t="n">
        <v>0</v>
      </c>
      <c r="AG485" s="30" t="n">
        <v>0</v>
      </c>
      <c r="AH485" s="30" t="n">
        <v>0</v>
      </c>
      <c r="AI485" s="30" t="n">
        <v>0</v>
      </c>
      <c r="AJ485" s="30" t="n">
        <v>1</v>
      </c>
      <c r="AK485" s="30" t="n">
        <v>0</v>
      </c>
      <c r="AL485" s="26"/>
    </row>
    <row collapsed="false" customFormat="false" customHeight="false" hidden="false" ht="14.5" outlineLevel="0" r="486">
      <c r="A486" s="30" t="n">
        <v>477</v>
      </c>
      <c r="B486" s="30" t="s">
        <v>45</v>
      </c>
      <c r="C486" s="30" t="s">
        <v>206</v>
      </c>
      <c r="D486" s="30" t="s">
        <v>649</v>
      </c>
      <c r="E486" s="30" t="n">
        <v>94</v>
      </c>
      <c r="F486" s="30"/>
      <c r="G486" s="30"/>
      <c r="H486" s="30" t="s">
        <v>669</v>
      </c>
      <c r="I486" s="30" t="s">
        <v>56</v>
      </c>
      <c r="J486" s="30"/>
      <c r="K486" s="30" t="s">
        <v>64</v>
      </c>
      <c r="L486" s="30" t="s">
        <v>51</v>
      </c>
      <c r="M486" s="30" t="n">
        <v>1970</v>
      </c>
      <c r="N486" s="30" t="s">
        <v>58</v>
      </c>
      <c r="O486" s="30" t="n">
        <v>5</v>
      </c>
      <c r="P486" s="30" t="n">
        <v>0</v>
      </c>
      <c r="Q486" s="30" t="n">
        <v>5</v>
      </c>
      <c r="R486" s="30" t="n">
        <v>100</v>
      </c>
      <c r="S486" s="30" t="n">
        <v>4129.7</v>
      </c>
      <c r="T486" s="30" t="n">
        <v>4129.7</v>
      </c>
      <c r="U486" s="30" t="n">
        <v>4129.7</v>
      </c>
      <c r="V486" s="30"/>
      <c r="W486" s="30" t="s">
        <v>53</v>
      </c>
      <c r="X486" s="30" t="s">
        <v>53</v>
      </c>
      <c r="Y486" s="30" t="s">
        <v>54</v>
      </c>
      <c r="Z486" s="30" t="s">
        <v>53</v>
      </c>
      <c r="AA486" s="30" t="s">
        <v>53</v>
      </c>
      <c r="AB486" s="30" t="s">
        <v>53</v>
      </c>
      <c r="AC486" s="30" t="s">
        <v>53</v>
      </c>
      <c r="AD486" s="30" t="s">
        <v>53</v>
      </c>
      <c r="AE486" s="30" t="s">
        <v>54</v>
      </c>
      <c r="AF486" s="30" t="n">
        <v>0</v>
      </c>
      <c r="AG486" s="30" t="n">
        <v>0</v>
      </c>
      <c r="AH486" s="30" t="n">
        <v>1</v>
      </c>
      <c r="AI486" s="30" t="n">
        <v>0</v>
      </c>
      <c r="AJ486" s="30" t="n">
        <v>1</v>
      </c>
      <c r="AK486" s="30" t="n">
        <v>0</v>
      </c>
      <c r="AL486" s="26"/>
    </row>
    <row collapsed="false" customFormat="false" customHeight="false" hidden="false" ht="14.5" outlineLevel="0" r="487">
      <c r="A487" s="30" t="n">
        <v>478</v>
      </c>
      <c r="B487" s="30" t="s">
        <v>45</v>
      </c>
      <c r="C487" s="30" t="s">
        <v>206</v>
      </c>
      <c r="D487" s="30" t="s">
        <v>649</v>
      </c>
      <c r="E487" s="30" t="n">
        <v>94</v>
      </c>
      <c r="F487" s="30" t="n">
        <v>1</v>
      </c>
      <c r="G487" s="30"/>
      <c r="H487" s="30" t="s">
        <v>670</v>
      </c>
      <c r="I487" s="30" t="s">
        <v>56</v>
      </c>
      <c r="J487" s="30"/>
      <c r="K487" s="30" t="s">
        <v>101</v>
      </c>
      <c r="L487" s="30" t="s">
        <v>51</v>
      </c>
      <c r="M487" s="30" t="n">
        <v>1975</v>
      </c>
      <c r="N487" s="30" t="s">
        <v>58</v>
      </c>
      <c r="O487" s="30" t="n">
        <v>9</v>
      </c>
      <c r="P487" s="30" t="n">
        <v>0</v>
      </c>
      <c r="Q487" s="30" t="n">
        <v>2</v>
      </c>
      <c r="R487" s="30" t="n">
        <v>72</v>
      </c>
      <c r="S487" s="30" t="n">
        <v>3310.91</v>
      </c>
      <c r="T487" s="30" t="n">
        <v>3310.91</v>
      </c>
      <c r="U487" s="30" t="n">
        <v>3310.91</v>
      </c>
      <c r="V487" s="30"/>
      <c r="W487" s="30" t="s">
        <v>53</v>
      </c>
      <c r="X487" s="30" t="s">
        <v>53</v>
      </c>
      <c r="Y487" s="30" t="s">
        <v>53</v>
      </c>
      <c r="Z487" s="30" t="s">
        <v>53</v>
      </c>
      <c r="AA487" s="30" t="s">
        <v>53</v>
      </c>
      <c r="AB487" s="30" t="s">
        <v>53</v>
      </c>
      <c r="AC487" s="30" t="s">
        <v>54</v>
      </c>
      <c r="AD487" s="30" t="s">
        <v>53</v>
      </c>
      <c r="AE487" s="30" t="s">
        <v>54</v>
      </c>
      <c r="AF487" s="30" t="n">
        <v>2</v>
      </c>
      <c r="AG487" s="30" t="n">
        <v>0</v>
      </c>
      <c r="AH487" s="30" t="n">
        <v>0</v>
      </c>
      <c r="AI487" s="30" t="n">
        <v>1</v>
      </c>
      <c r="AJ487" s="30" t="n">
        <v>1</v>
      </c>
      <c r="AK487" s="30" t="n">
        <v>0</v>
      </c>
      <c r="AL487" s="26"/>
    </row>
    <row collapsed="false" customFormat="false" customHeight="false" hidden="false" ht="14.5" outlineLevel="0" r="488">
      <c r="A488" s="30" t="n">
        <v>479</v>
      </c>
      <c r="B488" s="30" t="s">
        <v>45</v>
      </c>
      <c r="C488" s="30" t="s">
        <v>206</v>
      </c>
      <c r="D488" s="30" t="s">
        <v>649</v>
      </c>
      <c r="E488" s="30" t="n">
        <v>96</v>
      </c>
      <c r="F488" s="30"/>
      <c r="G488" s="30"/>
      <c r="H488" s="30" t="s">
        <v>671</v>
      </c>
      <c r="I488" s="30" t="s">
        <v>56</v>
      </c>
      <c r="J488" s="30"/>
      <c r="K488" s="30" t="s">
        <v>101</v>
      </c>
      <c r="L488" s="30" t="s">
        <v>51</v>
      </c>
      <c r="M488" s="30" t="n">
        <v>1971</v>
      </c>
      <c r="N488" s="30" t="s">
        <v>58</v>
      </c>
      <c r="O488" s="30" t="n">
        <v>5</v>
      </c>
      <c r="P488" s="30" t="n">
        <v>0</v>
      </c>
      <c r="Q488" s="30" t="n">
        <v>5</v>
      </c>
      <c r="R488" s="30" t="n">
        <v>80</v>
      </c>
      <c r="S488" s="30" t="n">
        <v>4607.6</v>
      </c>
      <c r="T488" s="30" t="n">
        <v>4607.6</v>
      </c>
      <c r="U488" s="30" t="n">
        <v>3484.8</v>
      </c>
      <c r="V488" s="30" t="n">
        <v>1122.8</v>
      </c>
      <c r="W488" s="30" t="s">
        <v>53</v>
      </c>
      <c r="X488" s="30" t="s">
        <v>53</v>
      </c>
      <c r="Y488" s="30" t="s">
        <v>54</v>
      </c>
      <c r="Z488" s="30" t="s">
        <v>53</v>
      </c>
      <c r="AA488" s="30" t="s">
        <v>53</v>
      </c>
      <c r="AB488" s="30" t="s">
        <v>53</v>
      </c>
      <c r="AC488" s="30" t="s">
        <v>53</v>
      </c>
      <c r="AD488" s="30" t="s">
        <v>53</v>
      </c>
      <c r="AE488" s="30" t="s">
        <v>54</v>
      </c>
      <c r="AF488" s="30" t="n">
        <v>0</v>
      </c>
      <c r="AG488" s="30" t="n">
        <v>0</v>
      </c>
      <c r="AH488" s="30" t="n">
        <v>1</v>
      </c>
      <c r="AI488" s="30" t="n">
        <v>0</v>
      </c>
      <c r="AJ488" s="30" t="n">
        <v>1</v>
      </c>
      <c r="AK488" s="30" t="n">
        <v>0</v>
      </c>
      <c r="AL488" s="26"/>
    </row>
    <row collapsed="false" customFormat="false" customHeight="false" hidden="false" ht="14.5" outlineLevel="0" r="489">
      <c r="A489" s="30" t="n">
        <v>480</v>
      </c>
      <c r="B489" s="30" t="s">
        <v>45</v>
      </c>
      <c r="C489" s="30" t="s">
        <v>206</v>
      </c>
      <c r="D489" s="30" t="s">
        <v>649</v>
      </c>
      <c r="E489" s="30" t="n">
        <v>98</v>
      </c>
      <c r="F489" s="30"/>
      <c r="G489" s="30"/>
      <c r="H489" s="30" t="s">
        <v>672</v>
      </c>
      <c r="I489" s="30" t="s">
        <v>56</v>
      </c>
      <c r="J489" s="30"/>
      <c r="K489" s="30" t="s">
        <v>101</v>
      </c>
      <c r="L489" s="30" t="s">
        <v>51</v>
      </c>
      <c r="M489" s="30" t="n">
        <v>1972</v>
      </c>
      <c r="N489" s="30" t="s">
        <v>58</v>
      </c>
      <c r="O489" s="30" t="n">
        <v>5</v>
      </c>
      <c r="P489" s="30" t="n">
        <v>0</v>
      </c>
      <c r="Q489" s="30" t="n">
        <v>5</v>
      </c>
      <c r="R489" s="30" t="n">
        <v>99</v>
      </c>
      <c r="S489" s="30" t="n">
        <v>4114.09</v>
      </c>
      <c r="T489" s="30" t="n">
        <v>4114.09</v>
      </c>
      <c r="U489" s="30" t="n">
        <v>4102.14</v>
      </c>
      <c r="V489" s="30"/>
      <c r="W489" s="30" t="s">
        <v>53</v>
      </c>
      <c r="X489" s="30" t="s">
        <v>53</v>
      </c>
      <c r="Y489" s="30" t="s">
        <v>54</v>
      </c>
      <c r="Z489" s="30" t="s">
        <v>53</v>
      </c>
      <c r="AA489" s="30" t="s">
        <v>53</v>
      </c>
      <c r="AB489" s="30" t="s">
        <v>53</v>
      </c>
      <c r="AC489" s="30" t="s">
        <v>53</v>
      </c>
      <c r="AD489" s="30" t="s">
        <v>53</v>
      </c>
      <c r="AE489" s="30" t="s">
        <v>54</v>
      </c>
      <c r="AF489" s="30" t="n">
        <v>0</v>
      </c>
      <c r="AG489" s="30" t="n">
        <v>0</v>
      </c>
      <c r="AH489" s="30" t="n">
        <v>1</v>
      </c>
      <c r="AI489" s="30" t="n">
        <v>0</v>
      </c>
      <c r="AJ489" s="30" t="n">
        <v>1</v>
      </c>
      <c r="AK489" s="30" t="n">
        <v>0</v>
      </c>
      <c r="AL489" s="26"/>
    </row>
    <row collapsed="false" customFormat="false" customHeight="false" hidden="false" ht="14.5" outlineLevel="0" r="490">
      <c r="A490" s="30" t="n">
        <v>481</v>
      </c>
      <c r="B490" s="30" t="s">
        <v>45</v>
      </c>
      <c r="C490" s="30" t="s">
        <v>206</v>
      </c>
      <c r="D490" s="30" t="s">
        <v>649</v>
      </c>
      <c r="E490" s="30" t="n">
        <v>104</v>
      </c>
      <c r="F490" s="30"/>
      <c r="G490" s="30"/>
      <c r="H490" s="30" t="s">
        <v>673</v>
      </c>
      <c r="I490" s="30" t="s">
        <v>56</v>
      </c>
      <c r="J490" s="30"/>
      <c r="K490" s="30" t="s">
        <v>64</v>
      </c>
      <c r="L490" s="30" t="s">
        <v>51</v>
      </c>
      <c r="M490" s="30" t="n">
        <v>1959</v>
      </c>
      <c r="N490" s="30" t="s">
        <v>58</v>
      </c>
      <c r="O490" s="30" t="n">
        <v>3</v>
      </c>
      <c r="P490" s="30" t="n">
        <v>0</v>
      </c>
      <c r="Q490" s="30" t="n">
        <v>2</v>
      </c>
      <c r="R490" s="30" t="n">
        <v>27</v>
      </c>
      <c r="S490" s="30" t="n">
        <v>1346.7</v>
      </c>
      <c r="T490" s="30" t="n">
        <v>1346.7</v>
      </c>
      <c r="U490" s="30" t="n">
        <v>1346.7</v>
      </c>
      <c r="V490" s="30"/>
      <c r="W490" s="30" t="s">
        <v>53</v>
      </c>
      <c r="X490" s="30" t="s">
        <v>53</v>
      </c>
      <c r="Y490" s="30" t="s">
        <v>54</v>
      </c>
      <c r="Z490" s="30" t="s">
        <v>53</v>
      </c>
      <c r="AA490" s="30" t="s">
        <v>53</v>
      </c>
      <c r="AB490" s="30" t="s">
        <v>53</v>
      </c>
      <c r="AC490" s="30" t="s">
        <v>53</v>
      </c>
      <c r="AD490" s="30" t="s">
        <v>53</v>
      </c>
      <c r="AE490" s="30" t="s">
        <v>54</v>
      </c>
      <c r="AF490" s="30" t="n">
        <v>0</v>
      </c>
      <c r="AG490" s="30" t="n">
        <v>0</v>
      </c>
      <c r="AH490" s="30" t="n">
        <v>1</v>
      </c>
      <c r="AI490" s="30" t="n">
        <v>0</v>
      </c>
      <c r="AJ490" s="30" t="n">
        <v>1</v>
      </c>
      <c r="AK490" s="30" t="n">
        <v>0</v>
      </c>
      <c r="AL490" s="26"/>
    </row>
    <row collapsed="false" customFormat="false" customHeight="false" hidden="false" ht="14.5" outlineLevel="0" r="491">
      <c r="A491" s="30" t="n">
        <v>482</v>
      </c>
      <c r="B491" s="30" t="s">
        <v>45</v>
      </c>
      <c r="C491" s="30" t="s">
        <v>206</v>
      </c>
      <c r="D491" s="30" t="s">
        <v>649</v>
      </c>
      <c r="E491" s="30" t="s">
        <v>674</v>
      </c>
      <c r="F491" s="30"/>
      <c r="G491" s="30"/>
      <c r="H491" s="30" t="s">
        <v>675</v>
      </c>
      <c r="I491" s="30" t="s">
        <v>56</v>
      </c>
      <c r="J491" s="30"/>
      <c r="K491" s="30" t="s">
        <v>64</v>
      </c>
      <c r="L491" s="30" t="s">
        <v>51</v>
      </c>
      <c r="M491" s="30" t="n">
        <v>1960</v>
      </c>
      <c r="N491" s="30" t="s">
        <v>58</v>
      </c>
      <c r="O491" s="30" t="n">
        <v>3</v>
      </c>
      <c r="P491" s="30" t="n">
        <v>0</v>
      </c>
      <c r="Q491" s="30" t="n">
        <v>2</v>
      </c>
      <c r="R491" s="30" t="n">
        <v>27</v>
      </c>
      <c r="S491" s="30" t="n">
        <v>1342</v>
      </c>
      <c r="T491" s="30" t="n">
        <v>1342</v>
      </c>
      <c r="U491" s="30" t="n">
        <v>1342</v>
      </c>
      <c r="V491" s="30"/>
      <c r="W491" s="30" t="s">
        <v>53</v>
      </c>
      <c r="X491" s="30" t="s">
        <v>53</v>
      </c>
      <c r="Y491" s="30" t="s">
        <v>54</v>
      </c>
      <c r="Z491" s="30" t="s">
        <v>53</v>
      </c>
      <c r="AA491" s="30" t="s">
        <v>53</v>
      </c>
      <c r="AB491" s="30" t="s">
        <v>53</v>
      </c>
      <c r="AC491" s="30" t="s">
        <v>53</v>
      </c>
      <c r="AD491" s="30" t="s">
        <v>53</v>
      </c>
      <c r="AE491" s="30" t="s">
        <v>54</v>
      </c>
      <c r="AF491" s="30" t="n">
        <v>0</v>
      </c>
      <c r="AG491" s="30" t="n">
        <v>0</v>
      </c>
      <c r="AH491" s="30" t="n">
        <v>1</v>
      </c>
      <c r="AI491" s="30" t="n">
        <v>0</v>
      </c>
      <c r="AJ491" s="30" t="n">
        <v>1</v>
      </c>
      <c r="AK491" s="30" t="n">
        <v>0</v>
      </c>
      <c r="AL491" s="26"/>
    </row>
    <row collapsed="false" customFormat="false" customHeight="false" hidden="false" ht="14.5" outlineLevel="0" r="492">
      <c r="A492" s="30" t="n">
        <v>483</v>
      </c>
      <c r="B492" s="30" t="s">
        <v>45</v>
      </c>
      <c r="C492" s="30" t="s">
        <v>46</v>
      </c>
      <c r="D492" s="30" t="s">
        <v>676</v>
      </c>
      <c r="E492" s="30" t="n">
        <v>1</v>
      </c>
      <c r="F492" s="30"/>
      <c r="G492" s="30"/>
      <c r="H492" s="30" t="s">
        <v>677</v>
      </c>
      <c r="I492" s="30" t="s">
        <v>56</v>
      </c>
      <c r="J492" s="30"/>
      <c r="K492" s="30" t="s">
        <v>81</v>
      </c>
      <c r="L492" s="30" t="s">
        <v>51</v>
      </c>
      <c r="M492" s="30" t="n">
        <v>1952</v>
      </c>
      <c r="N492" s="30" t="s">
        <v>58</v>
      </c>
      <c r="O492" s="30" t="n">
        <v>2</v>
      </c>
      <c r="P492" s="30" t="n">
        <v>0</v>
      </c>
      <c r="Q492" s="30" t="n">
        <v>1</v>
      </c>
      <c r="R492" s="30" t="n">
        <v>8</v>
      </c>
      <c r="S492" s="30" t="n">
        <v>538.9</v>
      </c>
      <c r="T492" s="30" t="n">
        <v>538.9</v>
      </c>
      <c r="U492" s="30" t="n">
        <v>538.9</v>
      </c>
      <c r="V492" s="30"/>
      <c r="W492" s="30" t="s">
        <v>53</v>
      </c>
      <c r="X492" s="30" t="s">
        <v>53</v>
      </c>
      <c r="Y492" s="30" t="s">
        <v>54</v>
      </c>
      <c r="Z492" s="30" t="s">
        <v>53</v>
      </c>
      <c r="AA492" s="30" t="s">
        <v>53</v>
      </c>
      <c r="AB492" s="30" t="s">
        <v>53</v>
      </c>
      <c r="AC492" s="30" t="s">
        <v>53</v>
      </c>
      <c r="AD492" s="30" t="s">
        <v>53</v>
      </c>
      <c r="AE492" s="30" t="s">
        <v>54</v>
      </c>
      <c r="AF492" s="30" t="n">
        <v>0</v>
      </c>
      <c r="AG492" s="30" t="n">
        <v>1</v>
      </c>
      <c r="AH492" s="30" t="n">
        <v>1</v>
      </c>
      <c r="AI492" s="30" t="n">
        <v>0</v>
      </c>
      <c r="AJ492" s="30" t="n">
        <v>0</v>
      </c>
      <c r="AK492" s="30" t="n">
        <v>0</v>
      </c>
      <c r="AL492" s="26"/>
    </row>
    <row collapsed="false" customFormat="false" customHeight="false" hidden="false" ht="14.5" outlineLevel="0" r="493">
      <c r="A493" s="30" t="n">
        <v>484</v>
      </c>
      <c r="B493" s="30" t="s">
        <v>45</v>
      </c>
      <c r="C493" s="30" t="s">
        <v>46</v>
      </c>
      <c r="D493" s="30" t="s">
        <v>676</v>
      </c>
      <c r="E493" s="30" t="n">
        <v>1</v>
      </c>
      <c r="F493" s="30" t="s">
        <v>67</v>
      </c>
      <c r="G493" s="30"/>
      <c r="H493" s="30" t="s">
        <v>678</v>
      </c>
      <c r="I493" s="30" t="s">
        <v>56</v>
      </c>
      <c r="J493" s="30"/>
      <c r="K493" s="30" t="s">
        <v>64</v>
      </c>
      <c r="L493" s="30" t="s">
        <v>65</v>
      </c>
      <c r="M493" s="30" t="n">
        <v>1962</v>
      </c>
      <c r="N493" s="30" t="s">
        <v>58</v>
      </c>
      <c r="O493" s="30" t="n">
        <v>5</v>
      </c>
      <c r="P493" s="30" t="n">
        <v>0</v>
      </c>
      <c r="Q493" s="30" t="n">
        <v>3</v>
      </c>
      <c r="R493" s="30" t="n">
        <v>60</v>
      </c>
      <c r="S493" s="30" t="n">
        <v>2563.5</v>
      </c>
      <c r="T493" s="30" t="n">
        <v>2563.5</v>
      </c>
      <c r="U493" s="30" t="n">
        <v>2563.5</v>
      </c>
      <c r="V493" s="30"/>
      <c r="W493" s="30" t="s">
        <v>53</v>
      </c>
      <c r="X493" s="30" t="s">
        <v>53</v>
      </c>
      <c r="Y493" s="30" t="s">
        <v>54</v>
      </c>
      <c r="Z493" s="30" t="s">
        <v>53</v>
      </c>
      <c r="AA493" s="30" t="s">
        <v>53</v>
      </c>
      <c r="AB493" s="30" t="s">
        <v>53</v>
      </c>
      <c r="AC493" s="30" t="s">
        <v>53</v>
      </c>
      <c r="AD493" s="30" t="s">
        <v>53</v>
      </c>
      <c r="AE493" s="30" t="s">
        <v>54</v>
      </c>
      <c r="AF493" s="30" t="n">
        <v>0</v>
      </c>
      <c r="AG493" s="30" t="n">
        <v>0</v>
      </c>
      <c r="AH493" s="30" t="n">
        <v>1</v>
      </c>
      <c r="AI493" s="30" t="n">
        <v>0</v>
      </c>
      <c r="AJ493" s="30" t="n">
        <v>1</v>
      </c>
      <c r="AK493" s="30" t="n">
        <v>0</v>
      </c>
      <c r="AL493" s="26"/>
    </row>
    <row collapsed="false" customFormat="false" customHeight="false" hidden="false" ht="14.5" outlineLevel="0" r="494">
      <c r="A494" s="30" t="n">
        <v>485</v>
      </c>
      <c r="B494" s="30" t="s">
        <v>45</v>
      </c>
      <c r="C494" s="30" t="s">
        <v>46</v>
      </c>
      <c r="D494" s="30" t="s">
        <v>676</v>
      </c>
      <c r="E494" s="30" t="n">
        <v>2</v>
      </c>
      <c r="F494" s="30"/>
      <c r="G494" s="30"/>
      <c r="H494" s="30" t="s">
        <v>679</v>
      </c>
      <c r="I494" s="30" t="s">
        <v>56</v>
      </c>
      <c r="J494" s="30"/>
      <c r="K494" s="30" t="s">
        <v>64</v>
      </c>
      <c r="L494" s="30" t="s">
        <v>65</v>
      </c>
      <c r="M494" s="30" t="n">
        <v>1959</v>
      </c>
      <c r="N494" s="30" t="s">
        <v>58</v>
      </c>
      <c r="O494" s="30" t="n">
        <v>5</v>
      </c>
      <c r="P494" s="30" t="n">
        <v>0</v>
      </c>
      <c r="Q494" s="30" t="n">
        <v>3</v>
      </c>
      <c r="R494" s="30" t="n">
        <v>60</v>
      </c>
      <c r="S494" s="30" t="n">
        <v>2544</v>
      </c>
      <c r="T494" s="30" t="n">
        <v>2544</v>
      </c>
      <c r="U494" s="30" t="n">
        <v>2544</v>
      </c>
      <c r="V494" s="30"/>
      <c r="W494" s="30" t="s">
        <v>53</v>
      </c>
      <c r="X494" s="30" t="s">
        <v>53</v>
      </c>
      <c r="Y494" s="30" t="s">
        <v>54</v>
      </c>
      <c r="Z494" s="30" t="s">
        <v>53</v>
      </c>
      <c r="AA494" s="30" t="s">
        <v>53</v>
      </c>
      <c r="AB494" s="30" t="s">
        <v>53</v>
      </c>
      <c r="AC494" s="30" t="s">
        <v>53</v>
      </c>
      <c r="AD494" s="30" t="s">
        <v>53</v>
      </c>
      <c r="AE494" s="30" t="s">
        <v>54</v>
      </c>
      <c r="AF494" s="30" t="n">
        <v>0</v>
      </c>
      <c r="AG494" s="30" t="n">
        <v>0</v>
      </c>
      <c r="AH494" s="30" t="n">
        <v>1</v>
      </c>
      <c r="AI494" s="30" t="n">
        <v>0</v>
      </c>
      <c r="AJ494" s="30" t="n">
        <v>1</v>
      </c>
      <c r="AK494" s="30" t="n">
        <v>0</v>
      </c>
      <c r="AL494" s="26"/>
    </row>
    <row collapsed="false" customFormat="false" customHeight="false" hidden="false" ht="14.5" outlineLevel="0" r="495">
      <c r="A495" s="30" t="n">
        <v>486</v>
      </c>
      <c r="B495" s="30" t="s">
        <v>45</v>
      </c>
      <c r="C495" s="30" t="s">
        <v>46</v>
      </c>
      <c r="D495" s="30" t="s">
        <v>676</v>
      </c>
      <c r="E495" s="30" t="n">
        <v>3</v>
      </c>
      <c r="F495" s="30"/>
      <c r="G495" s="30"/>
      <c r="H495" s="30" t="s">
        <v>680</v>
      </c>
      <c r="I495" s="30" t="s">
        <v>56</v>
      </c>
      <c r="J495" s="30"/>
      <c r="K495" s="30" t="s">
        <v>101</v>
      </c>
      <c r="L495" s="30" t="s">
        <v>51</v>
      </c>
      <c r="M495" s="30" t="n">
        <v>1952</v>
      </c>
      <c r="N495" s="30" t="s">
        <v>58</v>
      </c>
      <c r="O495" s="30" t="n">
        <v>2</v>
      </c>
      <c r="P495" s="30" t="n">
        <v>0</v>
      </c>
      <c r="Q495" s="30" t="n">
        <v>1</v>
      </c>
      <c r="R495" s="30" t="n">
        <v>8</v>
      </c>
      <c r="S495" s="30" t="n">
        <v>529.2</v>
      </c>
      <c r="T495" s="30" t="n">
        <v>529.2</v>
      </c>
      <c r="U495" s="30" t="n">
        <v>529.2</v>
      </c>
      <c r="V495" s="30"/>
      <c r="W495" s="30" t="s">
        <v>53</v>
      </c>
      <c r="X495" s="30" t="s">
        <v>53</v>
      </c>
      <c r="Y495" s="30" t="s">
        <v>54</v>
      </c>
      <c r="Z495" s="30" t="s">
        <v>53</v>
      </c>
      <c r="AA495" s="30" t="s">
        <v>53</v>
      </c>
      <c r="AB495" s="30" t="s">
        <v>53</v>
      </c>
      <c r="AC495" s="30" t="s">
        <v>53</v>
      </c>
      <c r="AD495" s="30" t="s">
        <v>53</v>
      </c>
      <c r="AE495" s="30" t="s">
        <v>54</v>
      </c>
      <c r="AF495" s="30" t="n">
        <v>0</v>
      </c>
      <c r="AG495" s="30" t="n">
        <v>1</v>
      </c>
      <c r="AH495" s="30" t="n">
        <v>1</v>
      </c>
      <c r="AI495" s="30" t="n">
        <v>0</v>
      </c>
      <c r="AJ495" s="30" t="n">
        <v>0</v>
      </c>
      <c r="AK495" s="30" t="n">
        <v>0</v>
      </c>
      <c r="AL495" s="26"/>
    </row>
    <row collapsed="false" customFormat="false" customHeight="false" hidden="false" ht="14.5" outlineLevel="0" r="496">
      <c r="A496" s="30" t="n">
        <v>487</v>
      </c>
      <c r="B496" s="30" t="s">
        <v>45</v>
      </c>
      <c r="C496" s="30" t="s">
        <v>46</v>
      </c>
      <c r="D496" s="30" t="s">
        <v>676</v>
      </c>
      <c r="E496" s="30" t="n">
        <v>3</v>
      </c>
      <c r="F496" s="30" t="s">
        <v>67</v>
      </c>
      <c r="G496" s="30"/>
      <c r="H496" s="30" t="s">
        <v>681</v>
      </c>
      <c r="I496" s="30" t="s">
        <v>56</v>
      </c>
      <c r="J496" s="30"/>
      <c r="K496" s="30" t="s">
        <v>64</v>
      </c>
      <c r="L496" s="30" t="s">
        <v>65</v>
      </c>
      <c r="M496" s="30" t="n">
        <v>1963</v>
      </c>
      <c r="N496" s="30" t="s">
        <v>58</v>
      </c>
      <c r="O496" s="30" t="n">
        <v>5</v>
      </c>
      <c r="P496" s="30" t="n">
        <v>0</v>
      </c>
      <c r="Q496" s="30" t="n">
        <v>3</v>
      </c>
      <c r="R496" s="30" t="n">
        <v>56</v>
      </c>
      <c r="S496" s="30" t="n">
        <v>2535.2</v>
      </c>
      <c r="T496" s="30" t="n">
        <v>2535.2</v>
      </c>
      <c r="U496" s="30" t="n">
        <v>2391.3</v>
      </c>
      <c r="V496" s="30" t="n">
        <v>143.9</v>
      </c>
      <c r="W496" s="30" t="s">
        <v>53</v>
      </c>
      <c r="X496" s="30" t="s">
        <v>53</v>
      </c>
      <c r="Y496" s="30" t="s">
        <v>54</v>
      </c>
      <c r="Z496" s="30" t="s">
        <v>53</v>
      </c>
      <c r="AA496" s="30" t="s">
        <v>53</v>
      </c>
      <c r="AB496" s="30" t="s">
        <v>53</v>
      </c>
      <c r="AC496" s="30" t="s">
        <v>53</v>
      </c>
      <c r="AD496" s="30" t="s">
        <v>53</v>
      </c>
      <c r="AE496" s="30" t="s">
        <v>54</v>
      </c>
      <c r="AF496" s="30" t="n">
        <v>0</v>
      </c>
      <c r="AG496" s="30" t="n">
        <v>0</v>
      </c>
      <c r="AH496" s="30" t="n">
        <v>1</v>
      </c>
      <c r="AI496" s="30" t="n">
        <v>0</v>
      </c>
      <c r="AJ496" s="30" t="n">
        <v>1</v>
      </c>
      <c r="AK496" s="30" t="n">
        <v>0</v>
      </c>
      <c r="AL496" s="26"/>
    </row>
    <row collapsed="false" customFormat="false" customHeight="false" hidden="false" ht="14.5" outlineLevel="0" r="497">
      <c r="A497" s="30" t="n">
        <v>488</v>
      </c>
      <c r="B497" s="30" t="s">
        <v>45</v>
      </c>
      <c r="C497" s="30" t="s">
        <v>46</v>
      </c>
      <c r="D497" s="30" t="s">
        <v>676</v>
      </c>
      <c r="E497" s="30" t="n">
        <v>4</v>
      </c>
      <c r="F497" s="30"/>
      <c r="G497" s="30"/>
      <c r="H497" s="30" t="s">
        <v>682</v>
      </c>
      <c r="I497" s="30" t="s">
        <v>56</v>
      </c>
      <c r="J497" s="30"/>
      <c r="K497" s="30" t="s">
        <v>81</v>
      </c>
      <c r="L497" s="30" t="s">
        <v>51</v>
      </c>
      <c r="M497" s="30" t="n">
        <v>1939</v>
      </c>
      <c r="N497" s="30" t="s">
        <v>58</v>
      </c>
      <c r="O497" s="30" t="n">
        <v>4</v>
      </c>
      <c r="P497" s="30" t="n">
        <v>0</v>
      </c>
      <c r="Q497" s="30" t="n">
        <v>3</v>
      </c>
      <c r="R497" s="30" t="n">
        <v>33</v>
      </c>
      <c r="S497" s="30" t="n">
        <v>2271.4</v>
      </c>
      <c r="T497" s="30" t="n">
        <v>2271.4</v>
      </c>
      <c r="U497" s="30" t="n">
        <v>2271.4</v>
      </c>
      <c r="V497" s="30"/>
      <c r="W497" s="30" t="s">
        <v>53</v>
      </c>
      <c r="X497" s="30" t="s">
        <v>53</v>
      </c>
      <c r="Y497" s="30" t="s">
        <v>54</v>
      </c>
      <c r="Z497" s="30" t="s">
        <v>53</v>
      </c>
      <c r="AA497" s="30" t="s">
        <v>53</v>
      </c>
      <c r="AB497" s="30" t="s">
        <v>53</v>
      </c>
      <c r="AC497" s="30" t="s">
        <v>53</v>
      </c>
      <c r="AD497" s="30" t="s">
        <v>53</v>
      </c>
      <c r="AE497" s="30" t="s">
        <v>54</v>
      </c>
      <c r="AF497" s="30" t="n">
        <v>0</v>
      </c>
      <c r="AG497" s="30" t="n">
        <v>0</v>
      </c>
      <c r="AH497" s="30" t="n">
        <v>0</v>
      </c>
      <c r="AI497" s="30" t="n">
        <v>0</v>
      </c>
      <c r="AJ497" s="30" t="n">
        <v>1</v>
      </c>
      <c r="AK497" s="30" t="n">
        <v>0</v>
      </c>
      <c r="AL497" s="26"/>
    </row>
    <row collapsed="false" customFormat="false" customHeight="false" hidden="false" ht="14.5" outlineLevel="0" r="498">
      <c r="A498" s="30" t="n">
        <v>489</v>
      </c>
      <c r="B498" s="30" t="s">
        <v>45</v>
      </c>
      <c r="C498" s="30" t="s">
        <v>46</v>
      </c>
      <c r="D498" s="30" t="s">
        <v>676</v>
      </c>
      <c r="E498" s="30" t="n">
        <v>6</v>
      </c>
      <c r="F498" s="30"/>
      <c r="G498" s="30"/>
      <c r="H498" s="30" t="s">
        <v>683</v>
      </c>
      <c r="I498" s="30" t="s">
        <v>56</v>
      </c>
      <c r="J498" s="30"/>
      <c r="K498" s="30" t="s">
        <v>81</v>
      </c>
      <c r="L498" s="30" t="s">
        <v>51</v>
      </c>
      <c r="M498" s="30" t="n">
        <v>1939</v>
      </c>
      <c r="N498" s="30" t="s">
        <v>58</v>
      </c>
      <c r="O498" s="30" t="n">
        <v>4</v>
      </c>
      <c r="P498" s="30" t="n">
        <v>0</v>
      </c>
      <c r="Q498" s="30" t="n">
        <v>4</v>
      </c>
      <c r="R498" s="30" t="n">
        <v>32</v>
      </c>
      <c r="S498" s="30" t="n">
        <v>2891.4</v>
      </c>
      <c r="T498" s="30" t="n">
        <v>2891.4</v>
      </c>
      <c r="U498" s="30" t="n">
        <v>2891.4</v>
      </c>
      <c r="V498" s="30"/>
      <c r="W498" s="30" t="s">
        <v>53</v>
      </c>
      <c r="X498" s="30" t="s">
        <v>53</v>
      </c>
      <c r="Y498" s="30" t="s">
        <v>54</v>
      </c>
      <c r="Z498" s="30" t="s">
        <v>53</v>
      </c>
      <c r="AA498" s="30" t="s">
        <v>53</v>
      </c>
      <c r="AB498" s="30" t="s">
        <v>53</v>
      </c>
      <c r="AC498" s="30" t="s">
        <v>53</v>
      </c>
      <c r="AD498" s="30" t="s">
        <v>53</v>
      </c>
      <c r="AE498" s="30" t="s">
        <v>54</v>
      </c>
      <c r="AF498" s="30" t="n">
        <v>0</v>
      </c>
      <c r="AG498" s="30" t="n">
        <v>0</v>
      </c>
      <c r="AH498" s="30" t="n">
        <v>1</v>
      </c>
      <c r="AI498" s="30" t="n">
        <v>0</v>
      </c>
      <c r="AJ498" s="30" t="n">
        <v>1</v>
      </c>
      <c r="AK498" s="30" t="n">
        <v>0</v>
      </c>
      <c r="AL498" s="26"/>
    </row>
    <row collapsed="false" customFormat="false" customHeight="false" hidden="false" ht="14.5" outlineLevel="0" r="499">
      <c r="A499" s="30" t="n">
        <v>490</v>
      </c>
      <c r="B499" s="30" t="s">
        <v>45</v>
      </c>
      <c r="C499" s="30" t="s">
        <v>46</v>
      </c>
      <c r="D499" s="30" t="s">
        <v>676</v>
      </c>
      <c r="E499" s="30" t="n">
        <v>8</v>
      </c>
      <c r="F499" s="30"/>
      <c r="G499" s="30"/>
      <c r="H499" s="30" t="s">
        <v>684</v>
      </c>
      <c r="I499" s="30" t="s">
        <v>56</v>
      </c>
      <c r="J499" s="30"/>
      <c r="K499" s="30" t="s">
        <v>64</v>
      </c>
      <c r="L499" s="30" t="s">
        <v>103</v>
      </c>
      <c r="M499" s="30" t="n">
        <v>1962</v>
      </c>
      <c r="N499" s="30" t="s">
        <v>58</v>
      </c>
      <c r="O499" s="30" t="n">
        <v>4</v>
      </c>
      <c r="P499" s="30" t="n">
        <v>0</v>
      </c>
      <c r="Q499" s="30" t="n">
        <v>3</v>
      </c>
      <c r="R499" s="30" t="n">
        <v>48</v>
      </c>
      <c r="S499" s="30" t="n">
        <v>2039.27</v>
      </c>
      <c r="T499" s="30" t="n">
        <v>2039.27</v>
      </c>
      <c r="U499" s="30" t="n">
        <v>2039.27</v>
      </c>
      <c r="V499" s="30"/>
      <c r="W499" s="30" t="s">
        <v>53</v>
      </c>
      <c r="X499" s="30" t="s">
        <v>53</v>
      </c>
      <c r="Y499" s="30" t="s">
        <v>54</v>
      </c>
      <c r="Z499" s="30" t="s">
        <v>53</v>
      </c>
      <c r="AA499" s="30" t="s">
        <v>53</v>
      </c>
      <c r="AB499" s="30" t="s">
        <v>53</v>
      </c>
      <c r="AC499" s="30" t="s">
        <v>53</v>
      </c>
      <c r="AD499" s="30" t="s">
        <v>53</v>
      </c>
      <c r="AE499" s="30" t="s">
        <v>54</v>
      </c>
      <c r="AF499" s="30" t="n">
        <v>0</v>
      </c>
      <c r="AG499" s="30" t="n">
        <v>0</v>
      </c>
      <c r="AH499" s="30" t="n">
        <v>1</v>
      </c>
      <c r="AI499" s="30" t="n">
        <v>0</v>
      </c>
      <c r="AJ499" s="30" t="n">
        <v>0</v>
      </c>
      <c r="AK499" s="30" t="n">
        <v>0</v>
      </c>
      <c r="AL499" s="26"/>
    </row>
    <row collapsed="false" customFormat="false" customHeight="false" hidden="false" ht="14.5" outlineLevel="0" r="500">
      <c r="A500" s="30" t="n">
        <v>491</v>
      </c>
      <c r="B500" s="30" t="s">
        <v>45</v>
      </c>
      <c r="C500" s="30" t="s">
        <v>46</v>
      </c>
      <c r="D500" s="30" t="s">
        <v>676</v>
      </c>
      <c r="E500" s="30" t="n">
        <v>10</v>
      </c>
      <c r="F500" s="30"/>
      <c r="G500" s="30"/>
      <c r="H500" s="30" t="s">
        <v>685</v>
      </c>
      <c r="I500" s="30" t="s">
        <v>56</v>
      </c>
      <c r="J500" s="30"/>
      <c r="K500" s="30" t="s">
        <v>64</v>
      </c>
      <c r="L500" s="30" t="s">
        <v>103</v>
      </c>
      <c r="M500" s="30" t="n">
        <v>1963</v>
      </c>
      <c r="N500" s="30" t="s">
        <v>58</v>
      </c>
      <c r="O500" s="30" t="n">
        <v>4</v>
      </c>
      <c r="P500" s="30" t="n">
        <v>0</v>
      </c>
      <c r="Q500" s="30" t="n">
        <v>3</v>
      </c>
      <c r="R500" s="30" t="n">
        <v>48</v>
      </c>
      <c r="S500" s="30" t="n">
        <v>2038.42</v>
      </c>
      <c r="T500" s="30" t="n">
        <v>2038.42</v>
      </c>
      <c r="U500" s="30" t="n">
        <v>2038.42</v>
      </c>
      <c r="V500" s="30"/>
      <c r="W500" s="30" t="s">
        <v>53</v>
      </c>
      <c r="X500" s="30" t="s">
        <v>53</v>
      </c>
      <c r="Y500" s="30" t="s">
        <v>54</v>
      </c>
      <c r="Z500" s="30" t="s">
        <v>53</v>
      </c>
      <c r="AA500" s="30" t="s">
        <v>53</v>
      </c>
      <c r="AB500" s="30" t="s">
        <v>53</v>
      </c>
      <c r="AC500" s="30" t="s">
        <v>53</v>
      </c>
      <c r="AD500" s="30" t="s">
        <v>53</v>
      </c>
      <c r="AE500" s="30" t="s">
        <v>54</v>
      </c>
      <c r="AF500" s="30" t="n">
        <v>0</v>
      </c>
      <c r="AG500" s="30" t="n">
        <v>0</v>
      </c>
      <c r="AH500" s="30" t="n">
        <v>1</v>
      </c>
      <c r="AI500" s="30" t="n">
        <v>0</v>
      </c>
      <c r="AJ500" s="30" t="n">
        <v>1</v>
      </c>
      <c r="AK500" s="30" t="n">
        <v>0</v>
      </c>
      <c r="AL500" s="26"/>
    </row>
    <row collapsed="false" customFormat="false" customHeight="false" hidden="false" ht="14.5" outlineLevel="0" r="501">
      <c r="A501" s="30" t="n">
        <v>492</v>
      </c>
      <c r="B501" s="30" t="s">
        <v>45</v>
      </c>
      <c r="C501" s="30" t="s">
        <v>46</v>
      </c>
      <c r="D501" s="30" t="s">
        <v>686</v>
      </c>
      <c r="E501" s="30" t="n">
        <v>1</v>
      </c>
      <c r="F501" s="30"/>
      <c r="G501" s="30"/>
      <c r="H501" s="30" t="s">
        <v>687</v>
      </c>
      <c r="I501" s="30" t="s">
        <v>56</v>
      </c>
      <c r="J501" s="30"/>
      <c r="K501" s="30" t="s">
        <v>138</v>
      </c>
      <c r="L501" s="30" t="s">
        <v>57</v>
      </c>
      <c r="M501" s="30" t="n">
        <v>1972</v>
      </c>
      <c r="N501" s="30" t="s">
        <v>108</v>
      </c>
      <c r="O501" s="30" t="n">
        <v>5</v>
      </c>
      <c r="P501" s="30" t="n">
        <v>0</v>
      </c>
      <c r="Q501" s="30" t="n">
        <v>4</v>
      </c>
      <c r="R501" s="30" t="n">
        <v>60</v>
      </c>
      <c r="S501" s="30" t="n">
        <v>2766.6</v>
      </c>
      <c r="T501" s="30" t="n">
        <v>2766.6</v>
      </c>
      <c r="U501" s="30" t="n">
        <v>2766.6</v>
      </c>
      <c r="V501" s="30"/>
      <c r="W501" s="30" t="s">
        <v>53</v>
      </c>
      <c r="X501" s="30" t="s">
        <v>53</v>
      </c>
      <c r="Y501" s="30" t="s">
        <v>54</v>
      </c>
      <c r="Z501" s="30" t="s">
        <v>53</v>
      </c>
      <c r="AA501" s="30" t="s">
        <v>53</v>
      </c>
      <c r="AB501" s="30" t="s">
        <v>53</v>
      </c>
      <c r="AC501" s="30" t="s">
        <v>53</v>
      </c>
      <c r="AD501" s="30" t="s">
        <v>53</v>
      </c>
      <c r="AE501" s="30" t="s">
        <v>54</v>
      </c>
      <c r="AF501" s="30" t="n">
        <v>0</v>
      </c>
      <c r="AG501" s="30" t="n">
        <v>0</v>
      </c>
      <c r="AH501" s="30" t="n">
        <v>1</v>
      </c>
      <c r="AI501" s="30" t="n">
        <v>0</v>
      </c>
      <c r="AJ501" s="30" t="n">
        <v>1</v>
      </c>
      <c r="AK501" s="30" t="n">
        <v>0</v>
      </c>
      <c r="AL501" s="26"/>
    </row>
    <row collapsed="false" customFormat="false" customHeight="false" hidden="false" ht="14.5" outlineLevel="0" r="502">
      <c r="A502" s="30" t="n">
        <v>493</v>
      </c>
      <c r="B502" s="30" t="s">
        <v>45</v>
      </c>
      <c r="C502" s="30" t="s">
        <v>46</v>
      </c>
      <c r="D502" s="30" t="s">
        <v>686</v>
      </c>
      <c r="E502" s="30" t="n">
        <v>2</v>
      </c>
      <c r="F502" s="30"/>
      <c r="G502" s="30"/>
      <c r="H502" s="30" t="s">
        <v>688</v>
      </c>
      <c r="I502" s="30" t="s">
        <v>56</v>
      </c>
      <c r="J502" s="30"/>
      <c r="K502" s="30" t="s">
        <v>138</v>
      </c>
      <c r="L502" s="30" t="s">
        <v>57</v>
      </c>
      <c r="M502" s="30" t="n">
        <v>1971</v>
      </c>
      <c r="N502" s="30" t="s">
        <v>108</v>
      </c>
      <c r="O502" s="30" t="n">
        <v>5</v>
      </c>
      <c r="P502" s="30" t="n">
        <v>0</v>
      </c>
      <c r="Q502" s="30" t="n">
        <v>8</v>
      </c>
      <c r="R502" s="30" t="n">
        <v>119</v>
      </c>
      <c r="S502" s="30" t="n">
        <v>5812.5</v>
      </c>
      <c r="T502" s="30" t="n">
        <v>5812.5</v>
      </c>
      <c r="U502" s="30" t="n">
        <v>5812.5</v>
      </c>
      <c r="V502" s="30"/>
      <c r="W502" s="30" t="s">
        <v>53</v>
      </c>
      <c r="X502" s="30" t="s">
        <v>53</v>
      </c>
      <c r="Y502" s="30" t="s">
        <v>54</v>
      </c>
      <c r="Z502" s="30" t="s">
        <v>53</v>
      </c>
      <c r="AA502" s="30" t="s">
        <v>53</v>
      </c>
      <c r="AB502" s="30" t="s">
        <v>53</v>
      </c>
      <c r="AC502" s="30" t="s">
        <v>53</v>
      </c>
      <c r="AD502" s="30" t="s">
        <v>53</v>
      </c>
      <c r="AE502" s="30" t="s">
        <v>54</v>
      </c>
      <c r="AF502" s="30" t="n">
        <v>0</v>
      </c>
      <c r="AG502" s="30" t="n">
        <v>0</v>
      </c>
      <c r="AH502" s="30" t="n">
        <v>1</v>
      </c>
      <c r="AI502" s="30" t="n">
        <v>0</v>
      </c>
      <c r="AJ502" s="30" t="n">
        <v>1</v>
      </c>
      <c r="AK502" s="30" t="n">
        <v>0</v>
      </c>
      <c r="AL502" s="26"/>
    </row>
    <row collapsed="false" customFormat="false" customHeight="false" hidden="false" ht="14.5" outlineLevel="0" r="503">
      <c r="A503" s="30" t="n">
        <v>494</v>
      </c>
      <c r="B503" s="30" t="s">
        <v>45</v>
      </c>
      <c r="C503" s="30" t="s">
        <v>46</v>
      </c>
      <c r="D503" s="30" t="s">
        <v>686</v>
      </c>
      <c r="E503" s="30" t="n">
        <v>3</v>
      </c>
      <c r="F503" s="30"/>
      <c r="G503" s="30"/>
      <c r="H503" s="30" t="s">
        <v>689</v>
      </c>
      <c r="I503" s="30" t="s">
        <v>56</v>
      </c>
      <c r="J503" s="30"/>
      <c r="K503" s="30" t="s">
        <v>138</v>
      </c>
      <c r="L503" s="30" t="s">
        <v>57</v>
      </c>
      <c r="M503" s="30" t="n">
        <v>1972</v>
      </c>
      <c r="N503" s="30" t="s">
        <v>108</v>
      </c>
      <c r="O503" s="30" t="n">
        <v>5</v>
      </c>
      <c r="P503" s="30" t="n">
        <v>0</v>
      </c>
      <c r="Q503" s="30" t="n">
        <v>4</v>
      </c>
      <c r="R503" s="30" t="n">
        <v>60</v>
      </c>
      <c r="S503" s="30" t="n">
        <v>2717.9</v>
      </c>
      <c r="T503" s="30" t="n">
        <v>2717.9</v>
      </c>
      <c r="U503" s="30" t="n">
        <v>2717.9</v>
      </c>
      <c r="V503" s="30"/>
      <c r="W503" s="30" t="s">
        <v>53</v>
      </c>
      <c r="X503" s="30" t="s">
        <v>53</v>
      </c>
      <c r="Y503" s="30" t="s">
        <v>54</v>
      </c>
      <c r="Z503" s="30" t="s">
        <v>53</v>
      </c>
      <c r="AA503" s="30" t="s">
        <v>53</v>
      </c>
      <c r="AB503" s="30" t="s">
        <v>53</v>
      </c>
      <c r="AC503" s="30" t="s">
        <v>53</v>
      </c>
      <c r="AD503" s="30" t="s">
        <v>53</v>
      </c>
      <c r="AE503" s="30" t="s">
        <v>54</v>
      </c>
      <c r="AF503" s="30" t="n">
        <v>0</v>
      </c>
      <c r="AG503" s="30" t="n">
        <v>0</v>
      </c>
      <c r="AH503" s="30" t="n">
        <v>1</v>
      </c>
      <c r="AI503" s="30" t="n">
        <v>0</v>
      </c>
      <c r="AJ503" s="30" t="n">
        <v>1</v>
      </c>
      <c r="AK503" s="30" t="n">
        <v>0</v>
      </c>
      <c r="AL503" s="26"/>
    </row>
    <row collapsed="false" customFormat="false" customHeight="false" hidden="false" ht="14.5" outlineLevel="0" r="504">
      <c r="A504" s="30" t="n">
        <v>495</v>
      </c>
      <c r="B504" s="30" t="s">
        <v>45</v>
      </c>
      <c r="C504" s="30" t="s">
        <v>46</v>
      </c>
      <c r="D504" s="30" t="s">
        <v>686</v>
      </c>
      <c r="E504" s="30" t="n">
        <v>6</v>
      </c>
      <c r="F504" s="30"/>
      <c r="G504" s="30"/>
      <c r="H504" s="30" t="s">
        <v>690</v>
      </c>
      <c r="I504" s="30" t="s">
        <v>56</v>
      </c>
      <c r="J504" s="30"/>
      <c r="K504" s="30" t="s">
        <v>138</v>
      </c>
      <c r="L504" s="30" t="s">
        <v>57</v>
      </c>
      <c r="M504" s="30" t="n">
        <v>1974</v>
      </c>
      <c r="N504" s="30" t="s">
        <v>108</v>
      </c>
      <c r="O504" s="30" t="n">
        <v>5</v>
      </c>
      <c r="P504" s="30" t="n">
        <v>0</v>
      </c>
      <c r="Q504" s="30" t="n">
        <v>8</v>
      </c>
      <c r="R504" s="30" t="n">
        <v>118</v>
      </c>
      <c r="S504" s="30" t="n">
        <v>5704.36</v>
      </c>
      <c r="T504" s="30" t="n">
        <v>5704.36</v>
      </c>
      <c r="U504" s="30" t="n">
        <v>5704.36</v>
      </c>
      <c r="V504" s="30"/>
      <c r="W504" s="30" t="s">
        <v>53</v>
      </c>
      <c r="X504" s="30" t="s">
        <v>53</v>
      </c>
      <c r="Y504" s="30" t="s">
        <v>54</v>
      </c>
      <c r="Z504" s="30" t="s">
        <v>53</v>
      </c>
      <c r="AA504" s="30" t="s">
        <v>53</v>
      </c>
      <c r="AB504" s="30" t="s">
        <v>53</v>
      </c>
      <c r="AC504" s="30" t="s">
        <v>53</v>
      </c>
      <c r="AD504" s="30" t="s">
        <v>53</v>
      </c>
      <c r="AE504" s="30" t="s">
        <v>54</v>
      </c>
      <c r="AF504" s="30" t="n">
        <v>0</v>
      </c>
      <c r="AG504" s="30" t="n">
        <v>0</v>
      </c>
      <c r="AH504" s="30" t="n">
        <v>1</v>
      </c>
      <c r="AI504" s="30" t="n">
        <v>0</v>
      </c>
      <c r="AJ504" s="30" t="n">
        <v>1</v>
      </c>
      <c r="AK504" s="30" t="n">
        <v>0</v>
      </c>
      <c r="AL504" s="26"/>
    </row>
    <row collapsed="false" customFormat="false" customHeight="false" hidden="false" ht="14.5" outlineLevel="0" r="505">
      <c r="A505" s="30" t="n">
        <v>496</v>
      </c>
      <c r="B505" s="30" t="s">
        <v>45</v>
      </c>
      <c r="C505" s="30" t="s">
        <v>46</v>
      </c>
      <c r="D505" s="30" t="s">
        <v>686</v>
      </c>
      <c r="E505" s="30" t="n">
        <v>9</v>
      </c>
      <c r="F505" s="30"/>
      <c r="G505" s="30"/>
      <c r="H505" s="30" t="s">
        <v>691</v>
      </c>
      <c r="I505" s="30" t="s">
        <v>56</v>
      </c>
      <c r="J505" s="30"/>
      <c r="K505" s="30" t="s">
        <v>138</v>
      </c>
      <c r="L505" s="30" t="s">
        <v>57</v>
      </c>
      <c r="M505" s="30" t="n">
        <v>1977</v>
      </c>
      <c r="N505" s="30" t="s">
        <v>108</v>
      </c>
      <c r="O505" s="30" t="n">
        <v>5</v>
      </c>
      <c r="P505" s="30" t="n">
        <v>0</v>
      </c>
      <c r="Q505" s="30" t="n">
        <v>5</v>
      </c>
      <c r="R505" s="30" t="n">
        <v>75</v>
      </c>
      <c r="S505" s="30" t="n">
        <v>3447.4</v>
      </c>
      <c r="T505" s="30" t="n">
        <v>3447.4</v>
      </c>
      <c r="U505" s="30" t="n">
        <v>3447.4</v>
      </c>
      <c r="V505" s="30"/>
      <c r="W505" s="30" t="s">
        <v>53</v>
      </c>
      <c r="X505" s="30" t="s">
        <v>53</v>
      </c>
      <c r="Y505" s="30" t="s">
        <v>53</v>
      </c>
      <c r="Z505" s="30" t="s">
        <v>53</v>
      </c>
      <c r="AA505" s="30" t="s">
        <v>53</v>
      </c>
      <c r="AB505" s="30" t="s">
        <v>53</v>
      </c>
      <c r="AC505" s="30" t="s">
        <v>54</v>
      </c>
      <c r="AD505" s="30" t="s">
        <v>53</v>
      </c>
      <c r="AE505" s="30" t="s">
        <v>54</v>
      </c>
      <c r="AF505" s="30" t="n">
        <v>0</v>
      </c>
      <c r="AG505" s="30" t="n">
        <v>0</v>
      </c>
      <c r="AH505" s="30" t="n">
        <v>1</v>
      </c>
      <c r="AI505" s="30" t="n">
        <v>0</v>
      </c>
      <c r="AJ505" s="30" t="n">
        <v>1</v>
      </c>
      <c r="AK505" s="30" t="n">
        <v>0</v>
      </c>
      <c r="AL505" s="26"/>
    </row>
    <row collapsed="false" customFormat="false" customHeight="false" hidden="false" ht="14.5" outlineLevel="0" r="506">
      <c r="A506" s="30" t="n">
        <v>497</v>
      </c>
      <c r="B506" s="30" t="s">
        <v>45</v>
      </c>
      <c r="C506" s="30" t="s">
        <v>206</v>
      </c>
      <c r="D506" s="30" t="s">
        <v>692</v>
      </c>
      <c r="E506" s="30" t="n">
        <v>4</v>
      </c>
      <c r="F506" s="30"/>
      <c r="G506" s="30"/>
      <c r="H506" s="30" t="s">
        <v>693</v>
      </c>
      <c r="I506" s="30" t="s">
        <v>56</v>
      </c>
      <c r="J506" s="30"/>
      <c r="K506" s="30" t="s">
        <v>64</v>
      </c>
      <c r="L506" s="30" t="s">
        <v>51</v>
      </c>
      <c r="M506" s="30" t="n">
        <v>1957</v>
      </c>
      <c r="N506" s="30" t="s">
        <v>58</v>
      </c>
      <c r="O506" s="30" t="n">
        <v>3</v>
      </c>
      <c r="P506" s="30" t="n">
        <v>0</v>
      </c>
      <c r="Q506" s="30" t="n">
        <v>4</v>
      </c>
      <c r="R506" s="30" t="n">
        <v>24</v>
      </c>
      <c r="S506" s="30" t="n">
        <v>1530.5</v>
      </c>
      <c r="T506" s="30" t="n">
        <v>1530.5</v>
      </c>
      <c r="U506" s="30" t="n">
        <v>1530.5</v>
      </c>
      <c r="V506" s="30"/>
      <c r="W506" s="30" t="s">
        <v>53</v>
      </c>
      <c r="X506" s="30" t="s">
        <v>53</v>
      </c>
      <c r="Y506" s="30" t="s">
        <v>54</v>
      </c>
      <c r="Z506" s="30" t="s">
        <v>53</v>
      </c>
      <c r="AA506" s="30" t="s">
        <v>53</v>
      </c>
      <c r="AB506" s="30" t="s">
        <v>53</v>
      </c>
      <c r="AC506" s="30" t="s">
        <v>53</v>
      </c>
      <c r="AD506" s="30" t="s">
        <v>53</v>
      </c>
      <c r="AE506" s="30" t="s">
        <v>54</v>
      </c>
      <c r="AF506" s="30" t="n">
        <v>0</v>
      </c>
      <c r="AG506" s="30" t="n">
        <v>0</v>
      </c>
      <c r="AH506" s="30" t="n">
        <v>0</v>
      </c>
      <c r="AI506" s="30" t="n">
        <v>0</v>
      </c>
      <c r="AJ506" s="30" t="n">
        <v>1</v>
      </c>
      <c r="AK506" s="30" t="n">
        <v>0</v>
      </c>
      <c r="AL506" s="26"/>
    </row>
    <row collapsed="false" customFormat="false" customHeight="false" hidden="false" ht="14.5" outlineLevel="0" r="507">
      <c r="A507" s="30" t="n">
        <v>498</v>
      </c>
      <c r="B507" s="30" t="s">
        <v>45</v>
      </c>
      <c r="C507" s="30" t="s">
        <v>59</v>
      </c>
      <c r="D507" s="30" t="s">
        <v>694</v>
      </c>
      <c r="E507" s="30" t="n">
        <v>5</v>
      </c>
      <c r="F507" s="30"/>
      <c r="G507" s="30"/>
      <c r="H507" s="30" t="s">
        <v>695</v>
      </c>
      <c r="I507" s="30" t="s">
        <v>56</v>
      </c>
      <c r="J507" s="30"/>
      <c r="K507" s="30" t="s">
        <v>81</v>
      </c>
      <c r="L507" s="30" t="s">
        <v>57</v>
      </c>
      <c r="M507" s="30" t="n">
        <v>1955</v>
      </c>
      <c r="N507" s="30" t="s">
        <v>58</v>
      </c>
      <c r="O507" s="30" t="n">
        <v>2</v>
      </c>
      <c r="P507" s="30" t="n">
        <v>0</v>
      </c>
      <c r="Q507" s="30" t="n">
        <v>2</v>
      </c>
      <c r="R507" s="30" t="n">
        <v>8</v>
      </c>
      <c r="S507" s="30" t="n">
        <v>593</v>
      </c>
      <c r="T507" s="30" t="n">
        <v>593</v>
      </c>
      <c r="U507" s="30" t="n">
        <v>593</v>
      </c>
      <c r="V507" s="30"/>
      <c r="W507" s="30" t="s">
        <v>53</v>
      </c>
      <c r="X507" s="30" t="s">
        <v>53</v>
      </c>
      <c r="Y507" s="30" t="s">
        <v>53</v>
      </c>
      <c r="Z507" s="30" t="s">
        <v>53</v>
      </c>
      <c r="AA507" s="30" t="s">
        <v>53</v>
      </c>
      <c r="AB507" s="30" t="s">
        <v>53</v>
      </c>
      <c r="AC507" s="30" t="s">
        <v>53</v>
      </c>
      <c r="AD507" s="30" t="s">
        <v>53</v>
      </c>
      <c r="AE507" s="30" t="s">
        <v>54</v>
      </c>
      <c r="AF507" s="30" t="n">
        <v>0</v>
      </c>
      <c r="AG507" s="30" t="n">
        <v>0</v>
      </c>
      <c r="AH507" s="30" t="n">
        <v>2</v>
      </c>
      <c r="AI507" s="30" t="n">
        <v>0</v>
      </c>
      <c r="AJ507" s="30" t="n">
        <v>1</v>
      </c>
      <c r="AK507" s="30" t="n">
        <v>0</v>
      </c>
      <c r="AL507" s="26"/>
    </row>
    <row collapsed="false" customFormat="false" customHeight="false" hidden="false" ht="14.5" outlineLevel="0" r="508">
      <c r="A508" s="30" t="n">
        <v>499</v>
      </c>
      <c r="B508" s="30" t="s">
        <v>45</v>
      </c>
      <c r="C508" s="30" t="s">
        <v>59</v>
      </c>
      <c r="D508" s="30" t="s">
        <v>694</v>
      </c>
      <c r="E508" s="30" t="n">
        <v>18</v>
      </c>
      <c r="F508" s="30"/>
      <c r="G508" s="30"/>
      <c r="H508" s="30" t="s">
        <v>696</v>
      </c>
      <c r="I508" s="30" t="s">
        <v>56</v>
      </c>
      <c r="J508" s="30"/>
      <c r="K508" s="30" t="s">
        <v>57</v>
      </c>
      <c r="L508" s="30" t="s">
        <v>57</v>
      </c>
      <c r="M508" s="30" t="n">
        <v>1917</v>
      </c>
      <c r="N508" s="30" t="s">
        <v>58</v>
      </c>
      <c r="O508" s="30" t="n">
        <v>3</v>
      </c>
      <c r="P508" s="30" t="n">
        <v>0</v>
      </c>
      <c r="Q508" s="30" t="n">
        <v>1</v>
      </c>
      <c r="R508" s="30" t="n">
        <v>18</v>
      </c>
      <c r="S508" s="30" t="n">
        <v>874.3</v>
      </c>
      <c r="T508" s="30" t="n">
        <v>874.3</v>
      </c>
      <c r="U508" s="30" t="n">
        <v>627</v>
      </c>
      <c r="V508" s="30" t="n">
        <v>247.3</v>
      </c>
      <c r="W508" s="30" t="s">
        <v>53</v>
      </c>
      <c r="X508" s="30" t="s">
        <v>53</v>
      </c>
      <c r="Y508" s="30" t="s">
        <v>53</v>
      </c>
      <c r="Z508" s="30" t="s">
        <v>53</v>
      </c>
      <c r="AA508" s="30" t="s">
        <v>53</v>
      </c>
      <c r="AB508" s="30" t="s">
        <v>53</v>
      </c>
      <c r="AC508" s="30" t="s">
        <v>53</v>
      </c>
      <c r="AD508" s="30" t="s">
        <v>53</v>
      </c>
      <c r="AE508" s="30" t="s">
        <v>54</v>
      </c>
      <c r="AF508" s="30" t="n">
        <v>0</v>
      </c>
      <c r="AG508" s="30" t="n">
        <v>0</v>
      </c>
      <c r="AH508" s="30" t="n">
        <v>2</v>
      </c>
      <c r="AI508" s="30" t="n">
        <v>0</v>
      </c>
      <c r="AJ508" s="30" t="n">
        <v>1</v>
      </c>
      <c r="AK508" s="30" t="n">
        <v>0</v>
      </c>
      <c r="AL508" s="26"/>
    </row>
    <row collapsed="false" customFormat="false" customHeight="false" hidden="false" ht="14.5" outlineLevel="0" r="509">
      <c r="A509" s="30" t="n">
        <v>500</v>
      </c>
      <c r="B509" s="30" t="s">
        <v>45</v>
      </c>
      <c r="C509" s="30" t="s">
        <v>59</v>
      </c>
      <c r="D509" s="30" t="s">
        <v>694</v>
      </c>
      <c r="E509" s="30" t="n">
        <v>20</v>
      </c>
      <c r="F509" s="30"/>
      <c r="G509" s="30"/>
      <c r="H509" s="30" t="s">
        <v>697</v>
      </c>
      <c r="I509" s="30" t="s">
        <v>56</v>
      </c>
      <c r="J509" s="30" t="s">
        <v>86</v>
      </c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26"/>
    </row>
    <row collapsed="false" customFormat="false" customHeight="false" hidden="false" ht="14.5" outlineLevel="0" r="510">
      <c r="A510" s="30" t="n">
        <v>501</v>
      </c>
      <c r="B510" s="30" t="s">
        <v>45</v>
      </c>
      <c r="C510" s="30" t="s">
        <v>59</v>
      </c>
      <c r="D510" s="30" t="s">
        <v>694</v>
      </c>
      <c r="E510" s="30" t="n">
        <v>34</v>
      </c>
      <c r="F510" s="30"/>
      <c r="G510" s="30"/>
      <c r="H510" s="30" t="s">
        <v>698</v>
      </c>
      <c r="I510" s="30" t="s">
        <v>56</v>
      </c>
      <c r="J510" s="30"/>
      <c r="K510" s="30" t="s">
        <v>138</v>
      </c>
      <c r="L510" s="30" t="s">
        <v>57</v>
      </c>
      <c r="M510" s="30" t="n">
        <v>2001</v>
      </c>
      <c r="N510" s="30" t="s">
        <v>108</v>
      </c>
      <c r="O510" s="30" t="n">
        <v>6</v>
      </c>
      <c r="P510" s="30" t="n">
        <v>0</v>
      </c>
      <c r="Q510" s="30" t="n">
        <v>6</v>
      </c>
      <c r="R510" s="30" t="n">
        <v>143</v>
      </c>
      <c r="S510" s="30" t="n">
        <v>8868</v>
      </c>
      <c r="T510" s="30" t="n">
        <v>8868</v>
      </c>
      <c r="U510" s="30" t="n">
        <v>8868</v>
      </c>
      <c r="V510" s="30"/>
      <c r="W510" s="30" t="s">
        <v>53</v>
      </c>
      <c r="X510" s="30" t="s">
        <v>53</v>
      </c>
      <c r="Y510" s="30" t="s">
        <v>53</v>
      </c>
      <c r="Z510" s="30" t="s">
        <v>53</v>
      </c>
      <c r="AA510" s="30" t="s">
        <v>53</v>
      </c>
      <c r="AB510" s="30" t="s">
        <v>54</v>
      </c>
      <c r="AC510" s="30" t="s">
        <v>54</v>
      </c>
      <c r="AD510" s="30" t="s">
        <v>54</v>
      </c>
      <c r="AE510" s="30" t="s">
        <v>53</v>
      </c>
      <c r="AF510" s="30" t="n">
        <v>6</v>
      </c>
      <c r="AG510" s="30" t="n">
        <v>0</v>
      </c>
      <c r="AH510" s="30" t="n">
        <v>1</v>
      </c>
      <c r="AI510" s="30" t="n">
        <v>0</v>
      </c>
      <c r="AJ510" s="30" t="n">
        <v>1</v>
      </c>
      <c r="AK510" s="30" t="n">
        <v>0</v>
      </c>
      <c r="AL510" s="26"/>
    </row>
    <row collapsed="false" customFormat="false" customHeight="false" hidden="false" ht="14.5" outlineLevel="0" r="511">
      <c r="A511" s="30" t="n">
        <v>502</v>
      </c>
      <c r="B511" s="30" t="s">
        <v>45</v>
      </c>
      <c r="C511" s="30" t="s">
        <v>206</v>
      </c>
      <c r="D511" s="30" t="s">
        <v>699</v>
      </c>
      <c r="E511" s="30" t="n">
        <v>4</v>
      </c>
      <c r="F511" s="30"/>
      <c r="G511" s="30"/>
      <c r="H511" s="30" t="s">
        <v>700</v>
      </c>
      <c r="I511" s="30" t="s">
        <v>56</v>
      </c>
      <c r="J511" s="30"/>
      <c r="K511" s="30" t="s">
        <v>64</v>
      </c>
      <c r="L511" s="30"/>
      <c r="M511" s="30" t="n">
        <v>1960</v>
      </c>
      <c r="N511" s="30" t="s">
        <v>58</v>
      </c>
      <c r="O511" s="30" t="n">
        <v>3</v>
      </c>
      <c r="P511" s="30" t="n">
        <v>0</v>
      </c>
      <c r="Q511" s="30" t="n">
        <v>3</v>
      </c>
      <c r="R511" s="30" t="n">
        <v>36</v>
      </c>
      <c r="S511" s="30" t="n">
        <v>1501.1</v>
      </c>
      <c r="T511" s="30" t="n">
        <v>1501.1</v>
      </c>
      <c r="U511" s="30" t="n">
        <v>1501.1</v>
      </c>
      <c r="V511" s="30"/>
      <c r="W511" s="30" t="s">
        <v>53</v>
      </c>
      <c r="X511" s="30" t="s">
        <v>53</v>
      </c>
      <c r="Y511" s="30" t="s">
        <v>54</v>
      </c>
      <c r="Z511" s="30" t="s">
        <v>53</v>
      </c>
      <c r="AA511" s="30" t="s">
        <v>53</v>
      </c>
      <c r="AB511" s="30" t="s">
        <v>53</v>
      </c>
      <c r="AC511" s="30" t="s">
        <v>53</v>
      </c>
      <c r="AD511" s="30" t="s">
        <v>53</v>
      </c>
      <c r="AE511" s="30" t="s">
        <v>54</v>
      </c>
      <c r="AF511" s="30" t="n">
        <v>0</v>
      </c>
      <c r="AG511" s="30" t="n">
        <v>0</v>
      </c>
      <c r="AH511" s="30" t="n">
        <v>1</v>
      </c>
      <c r="AI511" s="30" t="n">
        <v>0</v>
      </c>
      <c r="AJ511" s="30" t="n">
        <v>1</v>
      </c>
      <c r="AK511" s="30" t="n">
        <v>0</v>
      </c>
      <c r="AL511" s="26"/>
    </row>
    <row collapsed="false" customFormat="false" customHeight="false" hidden="false" ht="14.5" outlineLevel="0" r="512">
      <c r="A512" s="30" t="n">
        <v>503</v>
      </c>
      <c r="B512" s="30" t="s">
        <v>45</v>
      </c>
      <c r="C512" s="30" t="s">
        <v>59</v>
      </c>
      <c r="D512" s="30" t="s">
        <v>133</v>
      </c>
      <c r="E512" s="30" t="n">
        <v>3</v>
      </c>
      <c r="F512" s="30" t="n">
        <v>1</v>
      </c>
      <c r="G512" s="30"/>
      <c r="H512" s="30" t="s">
        <v>701</v>
      </c>
      <c r="I512" s="30" t="s">
        <v>56</v>
      </c>
      <c r="J512" s="30"/>
      <c r="K512" s="30" t="s">
        <v>81</v>
      </c>
      <c r="L512" s="30" t="s">
        <v>57</v>
      </c>
      <c r="M512" s="30" t="n">
        <v>1957</v>
      </c>
      <c r="N512" s="30" t="s">
        <v>58</v>
      </c>
      <c r="O512" s="30" t="n">
        <v>3</v>
      </c>
      <c r="P512" s="30" t="n">
        <v>0</v>
      </c>
      <c r="Q512" s="30" t="n">
        <v>2</v>
      </c>
      <c r="R512" s="30" t="n">
        <v>18</v>
      </c>
      <c r="S512" s="30" t="n">
        <v>1449</v>
      </c>
      <c r="T512" s="30" t="n">
        <v>1449</v>
      </c>
      <c r="U512" s="30" t="n">
        <v>1449</v>
      </c>
      <c r="V512" s="30"/>
      <c r="W512" s="30" t="s">
        <v>53</v>
      </c>
      <c r="X512" s="30" t="s">
        <v>53</v>
      </c>
      <c r="Y512" s="30" t="s">
        <v>53</v>
      </c>
      <c r="Z512" s="30" t="s">
        <v>53</v>
      </c>
      <c r="AA512" s="30" t="s">
        <v>53</v>
      </c>
      <c r="AB512" s="30" t="s">
        <v>53</v>
      </c>
      <c r="AC512" s="30" t="s">
        <v>53</v>
      </c>
      <c r="AD512" s="30" t="s">
        <v>53</v>
      </c>
      <c r="AE512" s="30" t="s">
        <v>54</v>
      </c>
      <c r="AF512" s="30" t="n">
        <v>0</v>
      </c>
      <c r="AG512" s="30" t="n">
        <v>0</v>
      </c>
      <c r="AH512" s="30" t="n">
        <v>1</v>
      </c>
      <c r="AI512" s="30" t="n">
        <v>0</v>
      </c>
      <c r="AJ512" s="30" t="n">
        <v>1</v>
      </c>
      <c r="AK512" s="30" t="n">
        <v>0</v>
      </c>
      <c r="AL512" s="26"/>
    </row>
    <row collapsed="false" customFormat="false" customHeight="false" hidden="false" ht="14.5" outlineLevel="0" r="513">
      <c r="A513" s="30" t="n">
        <v>504</v>
      </c>
      <c r="B513" s="30" t="s">
        <v>45</v>
      </c>
      <c r="C513" s="30" t="s">
        <v>59</v>
      </c>
      <c r="D513" s="30" t="s">
        <v>133</v>
      </c>
      <c r="E513" s="30" t="n">
        <v>3</v>
      </c>
      <c r="F513" s="30" t="n">
        <v>2</v>
      </c>
      <c r="G513" s="30"/>
      <c r="H513" s="30" t="s">
        <v>702</v>
      </c>
      <c r="I513" s="30" t="s">
        <v>56</v>
      </c>
      <c r="J513" s="30"/>
      <c r="K513" s="30" t="s">
        <v>81</v>
      </c>
      <c r="L513" s="30" t="s">
        <v>57</v>
      </c>
      <c r="M513" s="30" t="n">
        <v>1953</v>
      </c>
      <c r="N513" s="30" t="s">
        <v>58</v>
      </c>
      <c r="O513" s="30" t="n">
        <v>3</v>
      </c>
      <c r="P513" s="30" t="n">
        <v>0</v>
      </c>
      <c r="Q513" s="30" t="n">
        <v>2</v>
      </c>
      <c r="R513" s="30" t="n">
        <v>18</v>
      </c>
      <c r="S513" s="30" t="n">
        <v>1068</v>
      </c>
      <c r="T513" s="30" t="n">
        <v>1068</v>
      </c>
      <c r="U513" s="30" t="n">
        <v>1068</v>
      </c>
      <c r="V513" s="30"/>
      <c r="W513" s="30" t="s">
        <v>53</v>
      </c>
      <c r="X513" s="30" t="s">
        <v>53</v>
      </c>
      <c r="Y513" s="30" t="s">
        <v>53</v>
      </c>
      <c r="Z513" s="30" t="s">
        <v>53</v>
      </c>
      <c r="AA513" s="30" t="s">
        <v>53</v>
      </c>
      <c r="AB513" s="30" t="s">
        <v>53</v>
      </c>
      <c r="AC513" s="30" t="s">
        <v>53</v>
      </c>
      <c r="AD513" s="30" t="s">
        <v>53</v>
      </c>
      <c r="AE513" s="30" t="s">
        <v>54</v>
      </c>
      <c r="AF513" s="30" t="n">
        <v>0</v>
      </c>
      <c r="AG513" s="30" t="n">
        <v>0</v>
      </c>
      <c r="AH513" s="30" t="n">
        <v>1</v>
      </c>
      <c r="AI513" s="30" t="n">
        <v>0</v>
      </c>
      <c r="AJ513" s="30" t="n">
        <v>1</v>
      </c>
      <c r="AK513" s="30" t="n">
        <v>0</v>
      </c>
      <c r="AL513" s="26"/>
    </row>
    <row collapsed="false" customFormat="false" customHeight="false" hidden="false" ht="14.5" outlineLevel="0" r="514">
      <c r="A514" s="30" t="n">
        <v>505</v>
      </c>
      <c r="B514" s="30" t="s">
        <v>45</v>
      </c>
      <c r="C514" s="30" t="s">
        <v>59</v>
      </c>
      <c r="D514" s="30" t="s">
        <v>133</v>
      </c>
      <c r="E514" s="30" t="n">
        <v>3</v>
      </c>
      <c r="F514" s="30" t="n">
        <v>3</v>
      </c>
      <c r="G514" s="30"/>
      <c r="H514" s="30" t="s">
        <v>703</v>
      </c>
      <c r="I514" s="30" t="s">
        <v>56</v>
      </c>
      <c r="J514" s="30" t="s">
        <v>86</v>
      </c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26"/>
    </row>
    <row collapsed="false" customFormat="false" customHeight="false" hidden="false" ht="14.5" outlineLevel="0" r="515">
      <c r="A515" s="30" t="n">
        <v>506</v>
      </c>
      <c r="B515" s="30" t="s">
        <v>45</v>
      </c>
      <c r="C515" s="30" t="s">
        <v>59</v>
      </c>
      <c r="D515" s="30" t="s">
        <v>133</v>
      </c>
      <c r="E515" s="30" t="n">
        <v>3</v>
      </c>
      <c r="F515" s="30" t="n">
        <v>4</v>
      </c>
      <c r="G515" s="30"/>
      <c r="H515" s="30" t="s">
        <v>704</v>
      </c>
      <c r="I515" s="30" t="s">
        <v>56</v>
      </c>
      <c r="J515" s="30"/>
      <c r="K515" s="30" t="s">
        <v>138</v>
      </c>
      <c r="L515" s="30" t="s">
        <v>57</v>
      </c>
      <c r="M515" s="30" t="n">
        <v>1972</v>
      </c>
      <c r="N515" s="30" t="s">
        <v>108</v>
      </c>
      <c r="O515" s="30" t="n">
        <v>5</v>
      </c>
      <c r="P515" s="30" t="n">
        <v>0</v>
      </c>
      <c r="Q515" s="30" t="n">
        <v>4</v>
      </c>
      <c r="R515" s="30" t="n">
        <v>60</v>
      </c>
      <c r="S515" s="30" t="n">
        <v>2637</v>
      </c>
      <c r="T515" s="30" t="n">
        <v>2637</v>
      </c>
      <c r="U515" s="30" t="n">
        <v>2637</v>
      </c>
      <c r="V515" s="30"/>
      <c r="W515" s="30" t="s">
        <v>53</v>
      </c>
      <c r="X515" s="30" t="s">
        <v>53</v>
      </c>
      <c r="Y515" s="30" t="s">
        <v>53</v>
      </c>
      <c r="Z515" s="30" t="s">
        <v>53</v>
      </c>
      <c r="AA515" s="30" t="s">
        <v>53</v>
      </c>
      <c r="AB515" s="30" t="s">
        <v>53</v>
      </c>
      <c r="AC515" s="30" t="s">
        <v>53</v>
      </c>
      <c r="AD515" s="30" t="s">
        <v>53</v>
      </c>
      <c r="AE515" s="30" t="s">
        <v>54</v>
      </c>
      <c r="AF515" s="30" t="n">
        <v>0</v>
      </c>
      <c r="AG515" s="30" t="n">
        <v>0</v>
      </c>
      <c r="AH515" s="30" t="n">
        <v>1</v>
      </c>
      <c r="AI515" s="30" t="n">
        <v>0</v>
      </c>
      <c r="AJ515" s="30" t="n">
        <v>1</v>
      </c>
      <c r="AK515" s="30" t="n">
        <v>0</v>
      </c>
      <c r="AL515" s="26"/>
    </row>
    <row collapsed="false" customFormat="false" customHeight="false" hidden="false" ht="14.5" outlineLevel="0" r="516">
      <c r="A516" s="30" t="n">
        <v>507</v>
      </c>
      <c r="B516" s="30" t="s">
        <v>45</v>
      </c>
      <c r="C516" s="30" t="s">
        <v>59</v>
      </c>
      <c r="D516" s="30" t="s">
        <v>133</v>
      </c>
      <c r="E516" s="30" t="n">
        <v>3</v>
      </c>
      <c r="F516" s="30" t="n">
        <v>5</v>
      </c>
      <c r="G516" s="30"/>
      <c r="H516" s="30" t="s">
        <v>705</v>
      </c>
      <c r="I516" s="30" t="s">
        <v>56</v>
      </c>
      <c r="J516" s="30"/>
      <c r="K516" s="30" t="s">
        <v>81</v>
      </c>
      <c r="L516" s="30" t="s">
        <v>57</v>
      </c>
      <c r="M516" s="30" t="n">
        <v>1945</v>
      </c>
      <c r="N516" s="30" t="s">
        <v>58</v>
      </c>
      <c r="O516" s="30" t="n">
        <v>2</v>
      </c>
      <c r="P516" s="30" t="n">
        <v>0</v>
      </c>
      <c r="Q516" s="30" t="n">
        <v>3</v>
      </c>
      <c r="R516" s="30" t="n">
        <v>12</v>
      </c>
      <c r="S516" s="30" t="n">
        <v>744</v>
      </c>
      <c r="T516" s="30" t="n">
        <v>744</v>
      </c>
      <c r="U516" s="30" t="n">
        <v>744</v>
      </c>
      <c r="V516" s="30"/>
      <c r="W516" s="30" t="s">
        <v>53</v>
      </c>
      <c r="X516" s="30" t="s">
        <v>53</v>
      </c>
      <c r="Y516" s="30" t="s">
        <v>53</v>
      </c>
      <c r="Z516" s="30" t="s">
        <v>53</v>
      </c>
      <c r="AA516" s="30" t="s">
        <v>53</v>
      </c>
      <c r="AB516" s="30" t="s">
        <v>53</v>
      </c>
      <c r="AC516" s="30" t="s">
        <v>53</v>
      </c>
      <c r="AD516" s="30" t="s">
        <v>53</v>
      </c>
      <c r="AE516" s="30" t="s">
        <v>54</v>
      </c>
      <c r="AF516" s="30" t="n">
        <v>0</v>
      </c>
      <c r="AG516" s="30" t="n">
        <v>0</v>
      </c>
      <c r="AH516" s="30" t="n">
        <v>1</v>
      </c>
      <c r="AI516" s="30" t="n">
        <v>0</v>
      </c>
      <c r="AJ516" s="30" t="n">
        <v>1</v>
      </c>
      <c r="AK516" s="30" t="n">
        <v>0</v>
      </c>
      <c r="AL516" s="26"/>
    </row>
    <row collapsed="false" customFormat="false" customHeight="false" hidden="false" ht="14.5" outlineLevel="0" r="517">
      <c r="A517" s="30" t="n">
        <v>508</v>
      </c>
      <c r="B517" s="30" t="s">
        <v>45</v>
      </c>
      <c r="C517" s="30" t="s">
        <v>59</v>
      </c>
      <c r="D517" s="30" t="s">
        <v>133</v>
      </c>
      <c r="E517" s="30" t="n">
        <v>3</v>
      </c>
      <c r="F517" s="30" t="n">
        <v>6</v>
      </c>
      <c r="G517" s="30"/>
      <c r="H517" s="30" t="s">
        <v>706</v>
      </c>
      <c r="I517" s="30" t="s">
        <v>56</v>
      </c>
      <c r="J517" s="30"/>
      <c r="K517" s="30" t="s">
        <v>64</v>
      </c>
      <c r="L517" s="30" t="s">
        <v>57</v>
      </c>
      <c r="M517" s="30" t="n">
        <v>1963</v>
      </c>
      <c r="N517" s="30" t="s">
        <v>58</v>
      </c>
      <c r="O517" s="30" t="n">
        <v>4</v>
      </c>
      <c r="P517" s="30" t="n">
        <v>0</v>
      </c>
      <c r="Q517" s="30" t="n">
        <v>2</v>
      </c>
      <c r="R517" s="30" t="n">
        <v>32</v>
      </c>
      <c r="S517" s="30" t="n">
        <v>1242</v>
      </c>
      <c r="T517" s="30" t="n">
        <v>1242</v>
      </c>
      <c r="U517" s="30" t="n">
        <v>1242</v>
      </c>
      <c r="V517" s="30"/>
      <c r="W517" s="30" t="s">
        <v>53</v>
      </c>
      <c r="X517" s="30" t="s">
        <v>53</v>
      </c>
      <c r="Y517" s="30" t="s">
        <v>53</v>
      </c>
      <c r="Z517" s="30" t="s">
        <v>53</v>
      </c>
      <c r="AA517" s="30" t="s">
        <v>53</v>
      </c>
      <c r="AB517" s="30" t="s">
        <v>53</v>
      </c>
      <c r="AC517" s="30" t="s">
        <v>53</v>
      </c>
      <c r="AD517" s="30" t="s">
        <v>53</v>
      </c>
      <c r="AE517" s="30" t="s">
        <v>54</v>
      </c>
      <c r="AF517" s="30" t="n">
        <v>0</v>
      </c>
      <c r="AG517" s="30" t="n">
        <v>0</v>
      </c>
      <c r="AH517" s="30" t="n">
        <v>1</v>
      </c>
      <c r="AI517" s="30" t="n">
        <v>0</v>
      </c>
      <c r="AJ517" s="30" t="n">
        <v>1</v>
      </c>
      <c r="AK517" s="30" t="n">
        <v>0</v>
      </c>
      <c r="AL517" s="26"/>
    </row>
    <row collapsed="false" customFormat="false" customHeight="false" hidden="false" ht="14.5" outlineLevel="0" r="518">
      <c r="A518" s="30" t="n">
        <v>509</v>
      </c>
      <c r="B518" s="30" t="s">
        <v>45</v>
      </c>
      <c r="C518" s="30" t="s">
        <v>59</v>
      </c>
      <c r="D518" s="30" t="s">
        <v>133</v>
      </c>
      <c r="E518" s="30" t="n">
        <v>3</v>
      </c>
      <c r="F518" s="30" t="n">
        <v>7</v>
      </c>
      <c r="G518" s="30"/>
      <c r="H518" s="30" t="s">
        <v>707</v>
      </c>
      <c r="I518" s="30" t="s">
        <v>56</v>
      </c>
      <c r="J518" s="30" t="s">
        <v>86</v>
      </c>
      <c r="K518" s="30"/>
      <c r="L518" s="30"/>
      <c r="M518" s="30"/>
      <c r="N518" s="30"/>
      <c r="O518" s="30"/>
      <c r="P518" s="30"/>
      <c r="Q518" s="30"/>
      <c r="R518" s="30"/>
      <c r="S518" s="30" t="n">
        <v>142.5</v>
      </c>
      <c r="T518" s="30" t="n">
        <v>142.5</v>
      </c>
      <c r="U518" s="30"/>
      <c r="V518" s="30" t="n">
        <v>142.5</v>
      </c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26"/>
    </row>
    <row collapsed="false" customFormat="false" customHeight="false" hidden="false" ht="14.5" outlineLevel="0" r="519">
      <c r="A519" s="30" t="n">
        <v>510</v>
      </c>
      <c r="B519" s="30" t="s">
        <v>45</v>
      </c>
      <c r="C519" s="30" t="s">
        <v>59</v>
      </c>
      <c r="D519" s="30" t="s">
        <v>133</v>
      </c>
      <c r="E519" s="30" t="n">
        <v>3</v>
      </c>
      <c r="F519" s="30" t="n">
        <v>8</v>
      </c>
      <c r="G519" s="30"/>
      <c r="H519" s="30" t="s">
        <v>708</v>
      </c>
      <c r="I519" s="30" t="s">
        <v>56</v>
      </c>
      <c r="J519" s="30" t="s">
        <v>86</v>
      </c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26"/>
    </row>
    <row collapsed="false" customFormat="false" customHeight="false" hidden="false" ht="14.5" outlineLevel="0" r="520">
      <c r="A520" s="30" t="n">
        <v>511</v>
      </c>
      <c r="B520" s="30" t="s">
        <v>45</v>
      </c>
      <c r="C520" s="30" t="s">
        <v>59</v>
      </c>
      <c r="D520" s="30" t="s">
        <v>133</v>
      </c>
      <c r="E520" s="30" t="n">
        <v>3</v>
      </c>
      <c r="F520" s="30" t="n">
        <v>9</v>
      </c>
      <c r="G520" s="30"/>
      <c r="H520" s="30" t="s">
        <v>709</v>
      </c>
      <c r="I520" s="30" t="s">
        <v>56</v>
      </c>
      <c r="J520" s="30"/>
      <c r="K520" s="30" t="s">
        <v>101</v>
      </c>
      <c r="L520" s="30" t="s">
        <v>57</v>
      </c>
      <c r="M520" s="30" t="n">
        <v>1982</v>
      </c>
      <c r="N520" s="30" t="s">
        <v>58</v>
      </c>
      <c r="O520" s="30" t="n">
        <v>5</v>
      </c>
      <c r="P520" s="30" t="n">
        <v>0</v>
      </c>
      <c r="Q520" s="30" t="n">
        <v>4</v>
      </c>
      <c r="R520" s="30" t="n">
        <v>76</v>
      </c>
      <c r="S520" s="30" t="n">
        <v>3838.2</v>
      </c>
      <c r="T520" s="30" t="n">
        <v>3838.2</v>
      </c>
      <c r="U520" s="30" t="n">
        <v>3606</v>
      </c>
      <c r="V520" s="30" t="n">
        <v>232.2</v>
      </c>
      <c r="W520" s="30" t="s">
        <v>53</v>
      </c>
      <c r="X520" s="30" t="s">
        <v>53</v>
      </c>
      <c r="Y520" s="30" t="s">
        <v>53</v>
      </c>
      <c r="Z520" s="30" t="s">
        <v>53</v>
      </c>
      <c r="AA520" s="30" t="s">
        <v>53</v>
      </c>
      <c r="AB520" s="30" t="s">
        <v>53</v>
      </c>
      <c r="AC520" s="30" t="s">
        <v>54</v>
      </c>
      <c r="AD520" s="30" t="s">
        <v>53</v>
      </c>
      <c r="AE520" s="30" t="s">
        <v>54</v>
      </c>
      <c r="AF520" s="30" t="n">
        <v>0</v>
      </c>
      <c r="AG520" s="30" t="n">
        <v>0</v>
      </c>
      <c r="AH520" s="30" t="n">
        <v>1</v>
      </c>
      <c r="AI520" s="30" t="n">
        <v>1</v>
      </c>
      <c r="AJ520" s="30" t="n">
        <v>2</v>
      </c>
      <c r="AK520" s="30" t="n">
        <v>0</v>
      </c>
      <c r="AL520" s="26"/>
    </row>
    <row collapsed="false" customFormat="false" customHeight="false" hidden="false" ht="14.5" outlineLevel="0" r="521">
      <c r="A521" s="30" t="n">
        <v>512</v>
      </c>
      <c r="B521" s="30" t="s">
        <v>45</v>
      </c>
      <c r="C521" s="30" t="s">
        <v>59</v>
      </c>
      <c r="D521" s="30" t="s">
        <v>133</v>
      </c>
      <c r="E521" s="30" t="n">
        <v>5</v>
      </c>
      <c r="F521" s="30" t="n">
        <v>1</v>
      </c>
      <c r="G521" s="30"/>
      <c r="H521" s="30" t="s">
        <v>710</v>
      </c>
      <c r="I521" s="30" t="s">
        <v>56</v>
      </c>
      <c r="J521" s="30"/>
      <c r="K521" s="30" t="s">
        <v>81</v>
      </c>
      <c r="L521" s="30" t="s">
        <v>57</v>
      </c>
      <c r="M521" s="30" t="n">
        <v>1956</v>
      </c>
      <c r="N521" s="30" t="s">
        <v>58</v>
      </c>
      <c r="O521" s="30" t="n">
        <v>3</v>
      </c>
      <c r="P521" s="30" t="n">
        <v>0</v>
      </c>
      <c r="Q521" s="30" t="n">
        <v>2</v>
      </c>
      <c r="R521" s="30" t="n">
        <v>15</v>
      </c>
      <c r="S521" s="30" t="n">
        <v>1199.1</v>
      </c>
      <c r="T521" s="30" t="n">
        <v>1199.1</v>
      </c>
      <c r="U521" s="30" t="n">
        <v>1016</v>
      </c>
      <c r="V521" s="30" t="n">
        <v>183.1</v>
      </c>
      <c r="W521" s="30" t="s">
        <v>53</v>
      </c>
      <c r="X521" s="30" t="s">
        <v>53</v>
      </c>
      <c r="Y521" s="30" t="s">
        <v>53</v>
      </c>
      <c r="Z521" s="30" t="s">
        <v>53</v>
      </c>
      <c r="AA521" s="30" t="s">
        <v>53</v>
      </c>
      <c r="AB521" s="30" t="s">
        <v>53</v>
      </c>
      <c r="AC521" s="30" t="s">
        <v>53</v>
      </c>
      <c r="AD521" s="30" t="s">
        <v>53</v>
      </c>
      <c r="AE521" s="30" t="s">
        <v>54</v>
      </c>
      <c r="AF521" s="30" t="n">
        <v>0</v>
      </c>
      <c r="AG521" s="30" t="n">
        <v>0</v>
      </c>
      <c r="AH521" s="30" t="n">
        <v>1</v>
      </c>
      <c r="AI521" s="30" t="n">
        <v>0</v>
      </c>
      <c r="AJ521" s="30" t="n">
        <v>1</v>
      </c>
      <c r="AK521" s="30" t="n">
        <v>0</v>
      </c>
      <c r="AL521" s="26"/>
    </row>
    <row collapsed="false" customFormat="false" customHeight="false" hidden="false" ht="14.5" outlineLevel="0" r="522">
      <c r="A522" s="30" t="n">
        <v>513</v>
      </c>
      <c r="B522" s="30" t="s">
        <v>45</v>
      </c>
      <c r="C522" s="30" t="s">
        <v>59</v>
      </c>
      <c r="D522" s="30" t="s">
        <v>133</v>
      </c>
      <c r="E522" s="30" t="n">
        <v>5</v>
      </c>
      <c r="F522" s="30" t="n">
        <v>2</v>
      </c>
      <c r="G522" s="30"/>
      <c r="H522" s="30" t="s">
        <v>711</v>
      </c>
      <c r="I522" s="30" t="s">
        <v>56</v>
      </c>
      <c r="J522" s="30"/>
      <c r="K522" s="30" t="s">
        <v>81</v>
      </c>
      <c r="L522" s="30" t="s">
        <v>57</v>
      </c>
      <c r="M522" s="30" t="n">
        <v>1953</v>
      </c>
      <c r="N522" s="30" t="s">
        <v>58</v>
      </c>
      <c r="O522" s="30" t="n">
        <v>4</v>
      </c>
      <c r="P522" s="30" t="n">
        <v>0</v>
      </c>
      <c r="Q522" s="30" t="n">
        <v>3</v>
      </c>
      <c r="R522" s="30" t="n">
        <v>40</v>
      </c>
      <c r="S522" s="30" t="n">
        <v>2168</v>
      </c>
      <c r="T522" s="30" t="n">
        <v>2168</v>
      </c>
      <c r="U522" s="30" t="n">
        <v>2168</v>
      </c>
      <c r="V522" s="30"/>
      <c r="W522" s="30" t="s">
        <v>53</v>
      </c>
      <c r="X522" s="30" t="s">
        <v>53</v>
      </c>
      <c r="Y522" s="30" t="s">
        <v>53</v>
      </c>
      <c r="Z522" s="30" t="s">
        <v>53</v>
      </c>
      <c r="AA522" s="30" t="s">
        <v>53</v>
      </c>
      <c r="AB522" s="30" t="s">
        <v>53</v>
      </c>
      <c r="AC522" s="30" t="s">
        <v>53</v>
      </c>
      <c r="AD522" s="30" t="s">
        <v>53</v>
      </c>
      <c r="AE522" s="30" t="s">
        <v>54</v>
      </c>
      <c r="AF522" s="30" t="n">
        <v>0</v>
      </c>
      <c r="AG522" s="30" t="n">
        <v>0</v>
      </c>
      <c r="AH522" s="30" t="n">
        <v>1</v>
      </c>
      <c r="AI522" s="30" t="n">
        <v>0</v>
      </c>
      <c r="AJ522" s="30" t="n">
        <v>1</v>
      </c>
      <c r="AK522" s="30" t="n">
        <v>0</v>
      </c>
      <c r="AL522" s="26"/>
    </row>
    <row collapsed="false" customFormat="false" customHeight="false" hidden="false" ht="14.5" outlineLevel="0" r="523">
      <c r="A523" s="30" t="n">
        <v>514</v>
      </c>
      <c r="B523" s="30" t="s">
        <v>45</v>
      </c>
      <c r="C523" s="30" t="s">
        <v>59</v>
      </c>
      <c r="D523" s="30" t="s">
        <v>133</v>
      </c>
      <c r="E523" s="30" t="n">
        <v>5</v>
      </c>
      <c r="F523" s="30" t="n">
        <v>3</v>
      </c>
      <c r="G523" s="30"/>
      <c r="H523" s="30" t="s">
        <v>712</v>
      </c>
      <c r="I523" s="30" t="s">
        <v>56</v>
      </c>
      <c r="J523" s="30"/>
      <c r="K523" s="30" t="s">
        <v>81</v>
      </c>
      <c r="L523" s="30" t="s">
        <v>57</v>
      </c>
      <c r="M523" s="30" t="n">
        <v>1956</v>
      </c>
      <c r="N523" s="30" t="s">
        <v>58</v>
      </c>
      <c r="O523" s="30" t="n">
        <v>4</v>
      </c>
      <c r="P523" s="30" t="n">
        <v>0</v>
      </c>
      <c r="Q523" s="30" t="n">
        <v>4</v>
      </c>
      <c r="R523" s="30" t="n">
        <v>48</v>
      </c>
      <c r="S523" s="30" t="n">
        <v>2763</v>
      </c>
      <c r="T523" s="30" t="n">
        <v>2763</v>
      </c>
      <c r="U523" s="30" t="n">
        <v>2763</v>
      </c>
      <c r="V523" s="30"/>
      <c r="W523" s="30" t="s">
        <v>53</v>
      </c>
      <c r="X523" s="30" t="s">
        <v>53</v>
      </c>
      <c r="Y523" s="30" t="s">
        <v>53</v>
      </c>
      <c r="Z523" s="30" t="s">
        <v>53</v>
      </c>
      <c r="AA523" s="30" t="s">
        <v>53</v>
      </c>
      <c r="AB523" s="30" t="s">
        <v>53</v>
      </c>
      <c r="AC523" s="30" t="s">
        <v>53</v>
      </c>
      <c r="AD523" s="30" t="s">
        <v>53</v>
      </c>
      <c r="AE523" s="30" t="s">
        <v>54</v>
      </c>
      <c r="AF523" s="30" t="n">
        <v>0</v>
      </c>
      <c r="AG523" s="30" t="n">
        <v>0</v>
      </c>
      <c r="AH523" s="30" t="n">
        <v>1</v>
      </c>
      <c r="AI523" s="30" t="n">
        <v>0</v>
      </c>
      <c r="AJ523" s="30" t="n">
        <v>1</v>
      </c>
      <c r="AK523" s="30" t="n">
        <v>0</v>
      </c>
      <c r="AL523" s="26"/>
    </row>
    <row collapsed="false" customFormat="false" customHeight="false" hidden="false" ht="14.5" outlineLevel="0" r="524">
      <c r="A524" s="30" t="n">
        <v>515</v>
      </c>
      <c r="B524" s="30" t="s">
        <v>45</v>
      </c>
      <c r="C524" s="30" t="s">
        <v>59</v>
      </c>
      <c r="D524" s="30" t="s">
        <v>133</v>
      </c>
      <c r="E524" s="30" t="n">
        <v>5</v>
      </c>
      <c r="F524" s="30" t="n">
        <v>4</v>
      </c>
      <c r="G524" s="30"/>
      <c r="H524" s="30" t="s">
        <v>713</v>
      </c>
      <c r="I524" s="30" t="s">
        <v>56</v>
      </c>
      <c r="J524" s="30"/>
      <c r="K524" s="30" t="s">
        <v>81</v>
      </c>
      <c r="L524" s="30" t="s">
        <v>57</v>
      </c>
      <c r="M524" s="30" t="n">
        <v>1951</v>
      </c>
      <c r="N524" s="30" t="s">
        <v>58</v>
      </c>
      <c r="O524" s="30" t="n">
        <v>2</v>
      </c>
      <c r="P524" s="30" t="n">
        <v>0</v>
      </c>
      <c r="Q524" s="30" t="n">
        <v>1</v>
      </c>
      <c r="R524" s="30" t="n">
        <v>8</v>
      </c>
      <c r="S524" s="30" t="n">
        <v>644</v>
      </c>
      <c r="T524" s="30" t="n">
        <v>644</v>
      </c>
      <c r="U524" s="30" t="n">
        <v>644</v>
      </c>
      <c r="V524" s="30"/>
      <c r="W524" s="30" t="s">
        <v>53</v>
      </c>
      <c r="X524" s="30" t="s">
        <v>53</v>
      </c>
      <c r="Y524" s="30" t="s">
        <v>54</v>
      </c>
      <c r="Z524" s="30" t="s">
        <v>53</v>
      </c>
      <c r="AA524" s="30" t="s">
        <v>53</v>
      </c>
      <c r="AB524" s="30" t="s">
        <v>53</v>
      </c>
      <c r="AC524" s="30" t="s">
        <v>54</v>
      </c>
      <c r="AD524" s="30" t="s">
        <v>53</v>
      </c>
      <c r="AE524" s="30" t="s">
        <v>54</v>
      </c>
      <c r="AF524" s="30" t="n">
        <v>0</v>
      </c>
      <c r="AG524" s="30" t="n">
        <v>0</v>
      </c>
      <c r="AH524" s="30" t="n">
        <v>1</v>
      </c>
      <c r="AI524" s="30" t="n">
        <v>0</v>
      </c>
      <c r="AJ524" s="30" t="n">
        <v>1</v>
      </c>
      <c r="AK524" s="30" t="n">
        <v>0</v>
      </c>
      <c r="AL524" s="26"/>
    </row>
    <row collapsed="false" customFormat="false" customHeight="false" hidden="false" ht="14.5" outlineLevel="0" r="525">
      <c r="A525" s="30" t="n">
        <v>516</v>
      </c>
      <c r="B525" s="30" t="s">
        <v>45</v>
      </c>
      <c r="C525" s="30" t="s">
        <v>59</v>
      </c>
      <c r="D525" s="30" t="s">
        <v>133</v>
      </c>
      <c r="E525" s="30" t="n">
        <v>7</v>
      </c>
      <c r="F525" s="30" t="n">
        <v>1</v>
      </c>
      <c r="G525" s="30"/>
      <c r="H525" s="30" t="s">
        <v>714</v>
      </c>
      <c r="I525" s="30" t="s">
        <v>56</v>
      </c>
      <c r="J525" s="30"/>
      <c r="K525" s="30" t="s">
        <v>81</v>
      </c>
      <c r="L525" s="30" t="s">
        <v>57</v>
      </c>
      <c r="M525" s="30" t="n">
        <v>1956</v>
      </c>
      <c r="N525" s="30" t="s">
        <v>58</v>
      </c>
      <c r="O525" s="30" t="n">
        <v>3</v>
      </c>
      <c r="P525" s="30" t="n">
        <v>0</v>
      </c>
      <c r="Q525" s="30" t="n">
        <v>2</v>
      </c>
      <c r="R525" s="30" t="n">
        <v>18</v>
      </c>
      <c r="S525" s="30" t="n">
        <v>1195</v>
      </c>
      <c r="T525" s="30" t="n">
        <v>1195</v>
      </c>
      <c r="U525" s="30" t="n">
        <v>1195</v>
      </c>
      <c r="V525" s="30"/>
      <c r="W525" s="30" t="s">
        <v>53</v>
      </c>
      <c r="X525" s="30" t="s">
        <v>53</v>
      </c>
      <c r="Y525" s="30" t="s">
        <v>53</v>
      </c>
      <c r="Z525" s="30" t="s">
        <v>53</v>
      </c>
      <c r="AA525" s="30" t="s">
        <v>53</v>
      </c>
      <c r="AB525" s="30" t="s">
        <v>53</v>
      </c>
      <c r="AC525" s="30" t="s">
        <v>53</v>
      </c>
      <c r="AD525" s="30" t="s">
        <v>53</v>
      </c>
      <c r="AE525" s="30" t="s">
        <v>54</v>
      </c>
      <c r="AF525" s="30" t="n">
        <v>0</v>
      </c>
      <c r="AG525" s="30" t="n">
        <v>0</v>
      </c>
      <c r="AH525" s="30" t="n">
        <v>1</v>
      </c>
      <c r="AI525" s="30" t="n">
        <v>0</v>
      </c>
      <c r="AJ525" s="30" t="n">
        <v>1</v>
      </c>
      <c r="AK525" s="30" t="n">
        <v>0</v>
      </c>
      <c r="AL525" s="26"/>
    </row>
    <row collapsed="false" customFormat="false" customHeight="false" hidden="false" ht="14.5" outlineLevel="0" r="526">
      <c r="A526" s="30" t="n">
        <v>517</v>
      </c>
      <c r="B526" s="30" t="s">
        <v>45</v>
      </c>
      <c r="C526" s="30" t="s">
        <v>59</v>
      </c>
      <c r="D526" s="30" t="s">
        <v>133</v>
      </c>
      <c r="E526" s="30" t="n">
        <v>7</v>
      </c>
      <c r="F526" s="30" t="n">
        <v>2</v>
      </c>
      <c r="G526" s="30"/>
      <c r="H526" s="30" t="s">
        <v>715</v>
      </c>
      <c r="I526" s="30" t="s">
        <v>56</v>
      </c>
      <c r="J526" s="30"/>
      <c r="K526" s="30" t="s">
        <v>81</v>
      </c>
      <c r="L526" s="30" t="s">
        <v>57</v>
      </c>
      <c r="M526" s="30" t="n">
        <v>1956</v>
      </c>
      <c r="N526" s="30" t="s">
        <v>58</v>
      </c>
      <c r="O526" s="30" t="n">
        <v>3</v>
      </c>
      <c r="P526" s="30" t="n">
        <v>0</v>
      </c>
      <c r="Q526" s="30" t="n">
        <v>2</v>
      </c>
      <c r="R526" s="30" t="n">
        <v>18</v>
      </c>
      <c r="S526" s="30" t="n">
        <v>1210</v>
      </c>
      <c r="T526" s="30" t="n">
        <v>1210</v>
      </c>
      <c r="U526" s="30" t="n">
        <v>1210</v>
      </c>
      <c r="V526" s="30"/>
      <c r="W526" s="30" t="s">
        <v>53</v>
      </c>
      <c r="X526" s="30" t="s">
        <v>53</v>
      </c>
      <c r="Y526" s="30" t="s">
        <v>53</v>
      </c>
      <c r="Z526" s="30" t="s">
        <v>53</v>
      </c>
      <c r="AA526" s="30" t="s">
        <v>53</v>
      </c>
      <c r="AB526" s="30" t="s">
        <v>53</v>
      </c>
      <c r="AC526" s="30" t="s">
        <v>53</v>
      </c>
      <c r="AD526" s="30" t="s">
        <v>53</v>
      </c>
      <c r="AE526" s="30" t="s">
        <v>54</v>
      </c>
      <c r="AF526" s="30" t="n">
        <v>0</v>
      </c>
      <c r="AG526" s="30" t="n">
        <v>0</v>
      </c>
      <c r="AH526" s="30" t="n">
        <v>1</v>
      </c>
      <c r="AI526" s="30" t="n">
        <v>0</v>
      </c>
      <c r="AJ526" s="30" t="n">
        <v>1</v>
      </c>
      <c r="AK526" s="30" t="n">
        <v>0</v>
      </c>
      <c r="AL526" s="26"/>
    </row>
    <row collapsed="false" customFormat="false" customHeight="false" hidden="false" ht="14.5" outlineLevel="0" r="527">
      <c r="A527" s="30" t="n">
        <v>520</v>
      </c>
      <c r="B527" s="30" t="s">
        <v>45</v>
      </c>
      <c r="C527" s="30" t="s">
        <v>59</v>
      </c>
      <c r="D527" s="30" t="s">
        <v>133</v>
      </c>
      <c r="E527" s="30" t="n">
        <v>7</v>
      </c>
      <c r="F527" s="30" t="n">
        <v>5</v>
      </c>
      <c r="G527" s="30"/>
      <c r="H527" s="30" t="s">
        <v>716</v>
      </c>
      <c r="I527" s="30" t="s">
        <v>56</v>
      </c>
      <c r="J527" s="30"/>
      <c r="K527" s="30" t="s">
        <v>81</v>
      </c>
      <c r="L527" s="30" t="s">
        <v>57</v>
      </c>
      <c r="M527" s="30" t="n">
        <v>1951</v>
      </c>
      <c r="N527" s="30" t="s">
        <v>58</v>
      </c>
      <c r="O527" s="30" t="n">
        <v>2</v>
      </c>
      <c r="P527" s="30" t="n">
        <v>0</v>
      </c>
      <c r="Q527" s="30" t="n">
        <v>3</v>
      </c>
      <c r="R527" s="30" t="n">
        <v>12</v>
      </c>
      <c r="S527" s="30" t="n">
        <v>832</v>
      </c>
      <c r="T527" s="30" t="n">
        <v>832</v>
      </c>
      <c r="U527" s="30" t="n">
        <v>832</v>
      </c>
      <c r="V527" s="30"/>
      <c r="W527" s="30" t="s">
        <v>53</v>
      </c>
      <c r="X527" s="30" t="s">
        <v>53</v>
      </c>
      <c r="Y527" s="30" t="s">
        <v>53</v>
      </c>
      <c r="Z527" s="30" t="s">
        <v>53</v>
      </c>
      <c r="AA527" s="30" t="s">
        <v>53</v>
      </c>
      <c r="AB527" s="30" t="s">
        <v>53</v>
      </c>
      <c r="AC527" s="30" t="s">
        <v>53</v>
      </c>
      <c r="AD527" s="30" t="s">
        <v>53</v>
      </c>
      <c r="AE527" s="30" t="s">
        <v>54</v>
      </c>
      <c r="AF527" s="30" t="n">
        <v>0</v>
      </c>
      <c r="AG527" s="30" t="n">
        <v>0</v>
      </c>
      <c r="AH527" s="30" t="n">
        <v>1</v>
      </c>
      <c r="AI527" s="30" t="n">
        <v>0</v>
      </c>
      <c r="AJ527" s="30" t="n">
        <v>1</v>
      </c>
      <c r="AK527" s="30" t="n">
        <v>0</v>
      </c>
      <c r="AL527" s="26"/>
    </row>
    <row collapsed="false" customFormat="false" customHeight="false" hidden="false" ht="14.5" outlineLevel="0" r="528">
      <c r="A528" s="30" t="n">
        <v>521</v>
      </c>
      <c r="B528" s="30" t="s">
        <v>45</v>
      </c>
      <c r="C528" s="30" t="s">
        <v>59</v>
      </c>
      <c r="D528" s="30" t="s">
        <v>133</v>
      </c>
      <c r="E528" s="30" t="n">
        <v>13</v>
      </c>
      <c r="F528" s="30"/>
      <c r="G528" s="30"/>
      <c r="H528" s="30" t="s">
        <v>717</v>
      </c>
      <c r="I528" s="30" t="s">
        <v>56</v>
      </c>
      <c r="J528" s="30"/>
      <c r="K528" s="30" t="s">
        <v>64</v>
      </c>
      <c r="L528" s="30" t="s">
        <v>57</v>
      </c>
      <c r="M528" s="30" t="n">
        <v>1968</v>
      </c>
      <c r="N528" s="30" t="s">
        <v>58</v>
      </c>
      <c r="O528" s="30" t="n">
        <v>5</v>
      </c>
      <c r="P528" s="30" t="n">
        <v>0</v>
      </c>
      <c r="Q528" s="30" t="n">
        <v>4</v>
      </c>
      <c r="R528" s="30" t="n">
        <v>80</v>
      </c>
      <c r="S528" s="30" t="n">
        <v>3434</v>
      </c>
      <c r="T528" s="30" t="n">
        <v>3434</v>
      </c>
      <c r="U528" s="30" t="n">
        <v>3434</v>
      </c>
      <c r="V528" s="30"/>
      <c r="W528" s="30" t="s">
        <v>53</v>
      </c>
      <c r="X528" s="30" t="s">
        <v>53</v>
      </c>
      <c r="Y528" s="30" t="s">
        <v>53</v>
      </c>
      <c r="Z528" s="30" t="s">
        <v>53</v>
      </c>
      <c r="AA528" s="30" t="s">
        <v>53</v>
      </c>
      <c r="AB528" s="30" t="s">
        <v>53</v>
      </c>
      <c r="AC528" s="30" t="s">
        <v>53</v>
      </c>
      <c r="AD528" s="30" t="s">
        <v>53</v>
      </c>
      <c r="AE528" s="30" t="s">
        <v>54</v>
      </c>
      <c r="AF528" s="30" t="n">
        <v>0</v>
      </c>
      <c r="AG528" s="30" t="n">
        <v>0</v>
      </c>
      <c r="AH528" s="30" t="n">
        <v>1</v>
      </c>
      <c r="AI528" s="30" t="n">
        <v>0</v>
      </c>
      <c r="AJ528" s="30" t="n">
        <v>1</v>
      </c>
      <c r="AK528" s="30" t="n">
        <v>0</v>
      </c>
      <c r="AL528" s="26"/>
    </row>
    <row collapsed="false" customFormat="false" customHeight="false" hidden="false" ht="14.5" outlineLevel="0" r="529">
      <c r="A529" s="30" t="n">
        <v>522</v>
      </c>
      <c r="B529" s="30" t="s">
        <v>45</v>
      </c>
      <c r="C529" s="30" t="s">
        <v>59</v>
      </c>
      <c r="D529" s="30" t="s">
        <v>133</v>
      </c>
      <c r="E529" s="30" t="n">
        <v>15</v>
      </c>
      <c r="F529" s="30"/>
      <c r="G529" s="30"/>
      <c r="H529" s="30" t="s">
        <v>718</v>
      </c>
      <c r="I529" s="30" t="s">
        <v>56</v>
      </c>
      <c r="J529" s="30"/>
      <c r="K529" s="30" t="s">
        <v>64</v>
      </c>
      <c r="L529" s="30" t="s">
        <v>57</v>
      </c>
      <c r="M529" s="30" t="n">
        <v>1968</v>
      </c>
      <c r="N529" s="30" t="s">
        <v>58</v>
      </c>
      <c r="O529" s="30" t="n">
        <v>5</v>
      </c>
      <c r="P529" s="30" t="n">
        <v>0</v>
      </c>
      <c r="Q529" s="30" t="n">
        <v>4</v>
      </c>
      <c r="R529" s="30" t="n">
        <v>80</v>
      </c>
      <c r="S529" s="30" t="n">
        <v>3441</v>
      </c>
      <c r="T529" s="30" t="n">
        <v>3441</v>
      </c>
      <c r="U529" s="30" t="n">
        <v>3441</v>
      </c>
      <c r="V529" s="30"/>
      <c r="W529" s="30" t="s">
        <v>53</v>
      </c>
      <c r="X529" s="30" t="s">
        <v>53</v>
      </c>
      <c r="Y529" s="30" t="s">
        <v>53</v>
      </c>
      <c r="Z529" s="30" t="s">
        <v>53</v>
      </c>
      <c r="AA529" s="30" t="s">
        <v>53</v>
      </c>
      <c r="AB529" s="30" t="s">
        <v>53</v>
      </c>
      <c r="AC529" s="30" t="s">
        <v>53</v>
      </c>
      <c r="AD529" s="30" t="s">
        <v>53</v>
      </c>
      <c r="AE529" s="30" t="s">
        <v>54</v>
      </c>
      <c r="AF529" s="30" t="n">
        <v>0</v>
      </c>
      <c r="AG529" s="30" t="n">
        <v>0</v>
      </c>
      <c r="AH529" s="30" t="n">
        <v>0</v>
      </c>
      <c r="AI529" s="30" t="n">
        <v>0</v>
      </c>
      <c r="AJ529" s="30" t="n">
        <v>1</v>
      </c>
      <c r="AK529" s="30" t="n">
        <v>0</v>
      </c>
      <c r="AL529" s="26"/>
    </row>
    <row collapsed="false" customFormat="false" customHeight="false" hidden="false" ht="14.5" outlineLevel="0" r="530">
      <c r="A530" s="30" t="n">
        <v>523</v>
      </c>
      <c r="B530" s="30" t="s">
        <v>45</v>
      </c>
      <c r="C530" s="30" t="s">
        <v>59</v>
      </c>
      <c r="D530" s="30" t="s">
        <v>719</v>
      </c>
      <c r="E530" s="30" t="n">
        <v>2</v>
      </c>
      <c r="F530" s="30"/>
      <c r="G530" s="30"/>
      <c r="H530" s="30" t="s">
        <v>720</v>
      </c>
      <c r="I530" s="30" t="s">
        <v>56</v>
      </c>
      <c r="J530" s="30"/>
      <c r="K530" s="30" t="s">
        <v>57</v>
      </c>
      <c r="L530" s="30" t="s">
        <v>57</v>
      </c>
      <c r="M530" s="30" t="n">
        <v>1917</v>
      </c>
      <c r="N530" s="30" t="s">
        <v>58</v>
      </c>
      <c r="O530" s="30" t="n">
        <v>2</v>
      </c>
      <c r="P530" s="30" t="n">
        <v>0</v>
      </c>
      <c r="Q530" s="30" t="n">
        <v>4</v>
      </c>
      <c r="R530" s="30" t="n">
        <v>14</v>
      </c>
      <c r="S530" s="30" t="n">
        <v>924.3</v>
      </c>
      <c r="T530" s="30" t="n">
        <v>924.3</v>
      </c>
      <c r="U530" s="30" t="n">
        <v>842</v>
      </c>
      <c r="V530" s="30" t="n">
        <v>82.3</v>
      </c>
      <c r="W530" s="30" t="s">
        <v>53</v>
      </c>
      <c r="X530" s="30" t="s">
        <v>53</v>
      </c>
      <c r="Y530" s="30" t="s">
        <v>53</v>
      </c>
      <c r="Z530" s="30" t="s">
        <v>53</v>
      </c>
      <c r="AA530" s="30" t="s">
        <v>53</v>
      </c>
      <c r="AB530" s="30" t="s">
        <v>53</v>
      </c>
      <c r="AC530" s="30" t="s">
        <v>53</v>
      </c>
      <c r="AD530" s="30" t="s">
        <v>53</v>
      </c>
      <c r="AE530" s="30" t="s">
        <v>54</v>
      </c>
      <c r="AF530" s="30" t="n">
        <v>0</v>
      </c>
      <c r="AG530" s="30" t="n">
        <v>0</v>
      </c>
      <c r="AH530" s="30" t="n">
        <v>1</v>
      </c>
      <c r="AI530" s="30" t="n">
        <v>0</v>
      </c>
      <c r="AJ530" s="30" t="n">
        <v>0</v>
      </c>
      <c r="AK530" s="30" t="n">
        <v>0</v>
      </c>
      <c r="AL530" s="26"/>
    </row>
    <row collapsed="false" customFormat="false" customHeight="false" hidden="false" ht="14.5" outlineLevel="0" r="531">
      <c r="A531" s="30" t="n">
        <v>524</v>
      </c>
      <c r="B531" s="30" t="s">
        <v>45</v>
      </c>
      <c r="C531" s="30" t="s">
        <v>59</v>
      </c>
      <c r="D531" s="30" t="s">
        <v>719</v>
      </c>
      <c r="E531" s="30" t="n">
        <v>3</v>
      </c>
      <c r="F531" s="30"/>
      <c r="G531" s="30"/>
      <c r="H531" s="30" t="s">
        <v>721</v>
      </c>
      <c r="I531" s="30" t="s">
        <v>56</v>
      </c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 t="n">
        <v>288</v>
      </c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26"/>
    </row>
    <row collapsed="false" customFormat="false" customHeight="false" hidden="false" ht="14.5" outlineLevel="0" r="532">
      <c r="A532" s="30" t="n">
        <v>525</v>
      </c>
      <c r="B532" s="30" t="s">
        <v>45</v>
      </c>
      <c r="C532" s="30" t="s">
        <v>59</v>
      </c>
      <c r="D532" s="30" t="s">
        <v>719</v>
      </c>
      <c r="E532" s="30" t="n">
        <v>5</v>
      </c>
      <c r="F532" s="30"/>
      <c r="G532" s="30"/>
      <c r="H532" s="30" t="s">
        <v>722</v>
      </c>
      <c r="I532" s="30" t="s">
        <v>56</v>
      </c>
      <c r="J532" s="30" t="s">
        <v>86</v>
      </c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26"/>
    </row>
    <row collapsed="false" customFormat="false" customHeight="false" hidden="false" ht="14.5" outlineLevel="0" r="533">
      <c r="A533" s="30" t="n">
        <v>526</v>
      </c>
      <c r="B533" s="30" t="s">
        <v>45</v>
      </c>
      <c r="C533" s="30" t="s">
        <v>59</v>
      </c>
      <c r="D533" s="30" t="s">
        <v>719</v>
      </c>
      <c r="E533" s="30" t="n">
        <v>6</v>
      </c>
      <c r="F533" s="30"/>
      <c r="G533" s="30"/>
      <c r="H533" s="30" t="s">
        <v>723</v>
      </c>
      <c r="I533" s="30" t="s">
        <v>56</v>
      </c>
      <c r="J533" s="30"/>
      <c r="K533" s="30" t="s">
        <v>57</v>
      </c>
      <c r="L533" s="30" t="s">
        <v>57</v>
      </c>
      <c r="M533" s="30" t="n">
        <v>1917</v>
      </c>
      <c r="N533" s="30" t="s">
        <v>58</v>
      </c>
      <c r="O533" s="30" t="n">
        <v>2</v>
      </c>
      <c r="P533" s="30" t="n">
        <v>0</v>
      </c>
      <c r="Q533" s="30" t="n">
        <v>1</v>
      </c>
      <c r="R533" s="30" t="n">
        <v>8</v>
      </c>
      <c r="S533" s="30" t="n">
        <v>524</v>
      </c>
      <c r="T533" s="30" t="n">
        <v>524</v>
      </c>
      <c r="U533" s="30" t="n">
        <v>524</v>
      </c>
      <c r="V533" s="30"/>
      <c r="W533" s="30" t="s">
        <v>53</v>
      </c>
      <c r="X533" s="30" t="s">
        <v>53</v>
      </c>
      <c r="Y533" s="30" t="s">
        <v>54</v>
      </c>
      <c r="Z533" s="30" t="s">
        <v>53</v>
      </c>
      <c r="AA533" s="30" t="s">
        <v>53</v>
      </c>
      <c r="AB533" s="30" t="s">
        <v>53</v>
      </c>
      <c r="AC533" s="30" t="s">
        <v>54</v>
      </c>
      <c r="AD533" s="30" t="s">
        <v>53</v>
      </c>
      <c r="AE533" s="30" t="s">
        <v>54</v>
      </c>
      <c r="AF533" s="30" t="n">
        <v>0</v>
      </c>
      <c r="AG533" s="30" t="n">
        <v>0</v>
      </c>
      <c r="AH533" s="30" t="n">
        <v>0</v>
      </c>
      <c r="AI533" s="30" t="n">
        <v>0</v>
      </c>
      <c r="AJ533" s="30" t="n">
        <v>0</v>
      </c>
      <c r="AK533" s="30" t="n">
        <v>0</v>
      </c>
      <c r="AL533" s="26"/>
    </row>
    <row collapsed="false" customFormat="false" customHeight="false" hidden="false" ht="14.5" outlineLevel="0" r="534">
      <c r="A534" s="30" t="n">
        <v>527</v>
      </c>
      <c r="B534" s="30" t="s">
        <v>45</v>
      </c>
      <c r="C534" s="30" t="s">
        <v>59</v>
      </c>
      <c r="D534" s="30" t="s">
        <v>719</v>
      </c>
      <c r="E534" s="30" t="n">
        <v>8</v>
      </c>
      <c r="F534" s="30"/>
      <c r="G534" s="30"/>
      <c r="H534" s="30" t="s">
        <v>724</v>
      </c>
      <c r="I534" s="30" t="s">
        <v>56</v>
      </c>
      <c r="J534" s="30" t="s">
        <v>86</v>
      </c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26"/>
    </row>
    <row collapsed="false" customFormat="false" customHeight="false" hidden="false" ht="14.5" outlineLevel="0" r="535">
      <c r="A535" s="30" t="n">
        <v>528</v>
      </c>
      <c r="B535" s="30" t="s">
        <v>45</v>
      </c>
      <c r="C535" s="30" t="s">
        <v>59</v>
      </c>
      <c r="D535" s="30" t="s">
        <v>719</v>
      </c>
      <c r="E535" s="30" t="n">
        <v>10</v>
      </c>
      <c r="F535" s="30"/>
      <c r="G535" s="30"/>
      <c r="H535" s="30" t="s">
        <v>725</v>
      </c>
      <c r="I535" s="30" t="s">
        <v>56</v>
      </c>
      <c r="J535" s="30"/>
      <c r="K535" s="30" t="s">
        <v>57</v>
      </c>
      <c r="L535" s="30" t="s">
        <v>57</v>
      </c>
      <c r="M535" s="30" t="n">
        <v>1917</v>
      </c>
      <c r="N535" s="30" t="s">
        <v>58</v>
      </c>
      <c r="O535" s="30" t="n">
        <v>2</v>
      </c>
      <c r="P535" s="30" t="n">
        <v>0</v>
      </c>
      <c r="Q535" s="30" t="n">
        <v>2</v>
      </c>
      <c r="R535" s="30" t="n">
        <v>8</v>
      </c>
      <c r="S535" s="30" t="n">
        <v>519</v>
      </c>
      <c r="T535" s="30" t="n">
        <v>519</v>
      </c>
      <c r="U535" s="30" t="n">
        <v>519</v>
      </c>
      <c r="V535" s="30"/>
      <c r="W535" s="30" t="s">
        <v>53</v>
      </c>
      <c r="X535" s="30" t="s">
        <v>53</v>
      </c>
      <c r="Y535" s="30" t="s">
        <v>54</v>
      </c>
      <c r="Z535" s="30" t="s">
        <v>53</v>
      </c>
      <c r="AA535" s="30" t="s">
        <v>53</v>
      </c>
      <c r="AB535" s="30" t="s">
        <v>53</v>
      </c>
      <c r="AC535" s="30" t="s">
        <v>54</v>
      </c>
      <c r="AD535" s="30" t="s">
        <v>53</v>
      </c>
      <c r="AE535" s="30" t="s">
        <v>54</v>
      </c>
      <c r="AF535" s="30" t="n">
        <v>0</v>
      </c>
      <c r="AG535" s="30" t="n">
        <v>0</v>
      </c>
      <c r="AH535" s="30" t="n">
        <v>1</v>
      </c>
      <c r="AI535" s="30" t="n">
        <v>0</v>
      </c>
      <c r="AJ535" s="30" t="n">
        <v>0</v>
      </c>
      <c r="AK535" s="30" t="n">
        <v>0</v>
      </c>
      <c r="AL535" s="26"/>
    </row>
    <row collapsed="false" customFormat="false" customHeight="false" hidden="false" ht="14.5" outlineLevel="0" r="536">
      <c r="A536" s="30" t="n">
        <v>529</v>
      </c>
      <c r="B536" s="30" t="s">
        <v>45</v>
      </c>
      <c r="C536" s="30" t="s">
        <v>46</v>
      </c>
      <c r="D536" s="30" t="s">
        <v>726</v>
      </c>
      <c r="E536" s="30" t="n">
        <v>8</v>
      </c>
      <c r="F536" s="30"/>
      <c r="G536" s="30"/>
      <c r="H536" s="30" t="s">
        <v>727</v>
      </c>
      <c r="I536" s="30" t="s">
        <v>56</v>
      </c>
      <c r="J536" s="30"/>
      <c r="K536" s="30" t="s">
        <v>64</v>
      </c>
      <c r="L536" s="30" t="s">
        <v>51</v>
      </c>
      <c r="M536" s="30" t="n">
        <v>1962</v>
      </c>
      <c r="N536" s="30"/>
      <c r="O536" s="30" t="n">
        <v>2</v>
      </c>
      <c r="P536" s="30" t="n">
        <v>0</v>
      </c>
      <c r="Q536" s="30" t="n">
        <v>1</v>
      </c>
      <c r="R536" s="30" t="n">
        <v>16</v>
      </c>
      <c r="S536" s="30" t="n">
        <v>646.6</v>
      </c>
      <c r="T536" s="30" t="n">
        <v>646.6</v>
      </c>
      <c r="U536" s="30" t="n">
        <v>646.6</v>
      </c>
      <c r="V536" s="30"/>
      <c r="W536" s="30" t="s">
        <v>53</v>
      </c>
      <c r="X536" s="30" t="s">
        <v>53</v>
      </c>
      <c r="Y536" s="30" t="s">
        <v>54</v>
      </c>
      <c r="Z536" s="30" t="s">
        <v>53</v>
      </c>
      <c r="AA536" s="30" t="s">
        <v>53</v>
      </c>
      <c r="AB536" s="30" t="s">
        <v>53</v>
      </c>
      <c r="AC536" s="30" t="s">
        <v>53</v>
      </c>
      <c r="AD536" s="30" t="s">
        <v>53</v>
      </c>
      <c r="AE536" s="30" t="s">
        <v>54</v>
      </c>
      <c r="AF536" s="30" t="n">
        <v>0</v>
      </c>
      <c r="AG536" s="30" t="n">
        <v>0</v>
      </c>
      <c r="AH536" s="30" t="n">
        <v>1</v>
      </c>
      <c r="AI536" s="30" t="n">
        <v>0</v>
      </c>
      <c r="AJ536" s="30" t="n">
        <v>1</v>
      </c>
      <c r="AK536" s="30" t="n">
        <v>0</v>
      </c>
      <c r="AL536" s="26"/>
    </row>
    <row collapsed="false" customFormat="false" customHeight="false" hidden="false" ht="14.5" outlineLevel="0" r="537">
      <c r="A537" s="30" t="n">
        <v>530</v>
      </c>
      <c r="B537" s="30" t="s">
        <v>45</v>
      </c>
      <c r="C537" s="30" t="s">
        <v>46</v>
      </c>
      <c r="D537" s="30" t="s">
        <v>726</v>
      </c>
      <c r="E537" s="30" t="n">
        <v>18</v>
      </c>
      <c r="F537" s="30" t="s">
        <v>67</v>
      </c>
      <c r="G537" s="30"/>
      <c r="H537" s="30" t="s">
        <v>728</v>
      </c>
      <c r="I537" s="30" t="s">
        <v>56</v>
      </c>
      <c r="J537" s="30"/>
      <c r="K537" s="30" t="s">
        <v>138</v>
      </c>
      <c r="L537" s="30" t="s">
        <v>57</v>
      </c>
      <c r="M537" s="30" t="n">
        <v>1978</v>
      </c>
      <c r="N537" s="30" t="s">
        <v>108</v>
      </c>
      <c r="O537" s="30" t="n">
        <v>5</v>
      </c>
      <c r="P537" s="30" t="n">
        <v>0</v>
      </c>
      <c r="Q537" s="30" t="n">
        <v>4</v>
      </c>
      <c r="R537" s="30" t="n">
        <v>60</v>
      </c>
      <c r="S537" s="30" t="n">
        <v>3239.9</v>
      </c>
      <c r="T537" s="30" t="n">
        <v>3239.9</v>
      </c>
      <c r="U537" s="30" t="n">
        <v>3239.9</v>
      </c>
      <c r="V537" s="30"/>
      <c r="W537" s="30" t="s">
        <v>53</v>
      </c>
      <c r="X537" s="30" t="s">
        <v>53</v>
      </c>
      <c r="Y537" s="30" t="s">
        <v>53</v>
      </c>
      <c r="Z537" s="30" t="s">
        <v>53</v>
      </c>
      <c r="AA537" s="30" t="s">
        <v>53</v>
      </c>
      <c r="AB537" s="30" t="s">
        <v>53</v>
      </c>
      <c r="AC537" s="30" t="s">
        <v>54</v>
      </c>
      <c r="AD537" s="30" t="s">
        <v>53</v>
      </c>
      <c r="AE537" s="30" t="s">
        <v>54</v>
      </c>
      <c r="AF537" s="30" t="n">
        <v>0</v>
      </c>
      <c r="AG537" s="30" t="n">
        <v>0</v>
      </c>
      <c r="AH537" s="30" t="n">
        <v>1</v>
      </c>
      <c r="AI537" s="30" t="n">
        <v>1</v>
      </c>
      <c r="AJ537" s="30" t="n">
        <v>1</v>
      </c>
      <c r="AK537" s="30" t="n">
        <v>0</v>
      </c>
      <c r="AL537" s="26"/>
    </row>
    <row collapsed="false" customFormat="false" customHeight="false" hidden="false" ht="14.5" outlineLevel="0" r="538">
      <c r="A538" s="30" t="n">
        <v>531</v>
      </c>
      <c r="B538" s="30" t="s">
        <v>45</v>
      </c>
      <c r="C538" s="30" t="s">
        <v>59</v>
      </c>
      <c r="D538" s="30" t="s">
        <v>729</v>
      </c>
      <c r="E538" s="30" t="n">
        <v>4</v>
      </c>
      <c r="F538" s="30"/>
      <c r="G538" s="30"/>
      <c r="H538" s="30" t="s">
        <v>730</v>
      </c>
      <c r="I538" s="30" t="s">
        <v>56</v>
      </c>
      <c r="J538" s="30"/>
      <c r="K538" s="30" t="s">
        <v>64</v>
      </c>
      <c r="L538" s="30" t="s">
        <v>57</v>
      </c>
      <c r="M538" s="30" t="n">
        <v>1957</v>
      </c>
      <c r="N538" s="30" t="s">
        <v>58</v>
      </c>
      <c r="O538" s="30" t="n">
        <v>3</v>
      </c>
      <c r="P538" s="30" t="n">
        <v>0</v>
      </c>
      <c r="Q538" s="30" t="n">
        <v>3</v>
      </c>
      <c r="R538" s="30" t="n">
        <v>29</v>
      </c>
      <c r="S538" s="30" t="n">
        <v>1806.9</v>
      </c>
      <c r="T538" s="30" t="n">
        <v>1806.9</v>
      </c>
      <c r="U538" s="30" t="n">
        <v>1456</v>
      </c>
      <c r="V538" s="30" t="n">
        <v>350.9</v>
      </c>
      <c r="W538" s="30" t="s">
        <v>53</v>
      </c>
      <c r="X538" s="30" t="s">
        <v>53</v>
      </c>
      <c r="Y538" s="30" t="s">
        <v>53</v>
      </c>
      <c r="Z538" s="30" t="s">
        <v>53</v>
      </c>
      <c r="AA538" s="30" t="s">
        <v>53</v>
      </c>
      <c r="AB538" s="30" t="s">
        <v>53</v>
      </c>
      <c r="AC538" s="30" t="s">
        <v>53</v>
      </c>
      <c r="AD538" s="30" t="s">
        <v>53</v>
      </c>
      <c r="AE538" s="30" t="s">
        <v>54</v>
      </c>
      <c r="AF538" s="30" t="n">
        <v>0</v>
      </c>
      <c r="AG538" s="30" t="n">
        <v>0</v>
      </c>
      <c r="AH538" s="30" t="n">
        <v>1</v>
      </c>
      <c r="AI538" s="30" t="n">
        <v>0</v>
      </c>
      <c r="AJ538" s="30" t="n">
        <v>0</v>
      </c>
      <c r="AK538" s="30" t="n">
        <v>0</v>
      </c>
      <c r="AL538" s="26"/>
    </row>
    <row collapsed="false" customFormat="false" customHeight="false" hidden="false" ht="14.5" outlineLevel="0" r="539">
      <c r="A539" s="30" t="n">
        <v>532</v>
      </c>
      <c r="B539" s="30" t="s">
        <v>45</v>
      </c>
      <c r="C539" s="30" t="s">
        <v>59</v>
      </c>
      <c r="D539" s="30" t="s">
        <v>729</v>
      </c>
      <c r="E539" s="30" t="n">
        <v>6</v>
      </c>
      <c r="F539" s="30"/>
      <c r="G539" s="30"/>
      <c r="H539" s="30" t="s">
        <v>731</v>
      </c>
      <c r="I539" s="30" t="s">
        <v>56</v>
      </c>
      <c r="J539" s="30"/>
      <c r="K539" s="30" t="s">
        <v>64</v>
      </c>
      <c r="L539" s="30" t="s">
        <v>57</v>
      </c>
      <c r="M539" s="30" t="n">
        <v>1958</v>
      </c>
      <c r="N539" s="30" t="s">
        <v>58</v>
      </c>
      <c r="O539" s="30" t="n">
        <v>3</v>
      </c>
      <c r="P539" s="30" t="n">
        <v>0</v>
      </c>
      <c r="Q539" s="30" t="n">
        <v>3</v>
      </c>
      <c r="R539" s="30" t="n">
        <v>33</v>
      </c>
      <c r="S539" s="30" t="n">
        <v>1683.6</v>
      </c>
      <c r="T539" s="30" t="n">
        <v>1683.6</v>
      </c>
      <c r="U539" s="30" t="n">
        <v>1596</v>
      </c>
      <c r="V539" s="30" t="n">
        <v>87.6</v>
      </c>
      <c r="W539" s="30" t="s">
        <v>53</v>
      </c>
      <c r="X539" s="30" t="s">
        <v>53</v>
      </c>
      <c r="Y539" s="30" t="s">
        <v>53</v>
      </c>
      <c r="Z539" s="30" t="s">
        <v>53</v>
      </c>
      <c r="AA539" s="30" t="s">
        <v>53</v>
      </c>
      <c r="AB539" s="30" t="s">
        <v>53</v>
      </c>
      <c r="AC539" s="30" t="s">
        <v>53</v>
      </c>
      <c r="AD539" s="30" t="s">
        <v>53</v>
      </c>
      <c r="AE539" s="30" t="s">
        <v>54</v>
      </c>
      <c r="AF539" s="30" t="n">
        <v>0</v>
      </c>
      <c r="AG539" s="30" t="n">
        <v>0</v>
      </c>
      <c r="AH539" s="30" t="n">
        <v>0</v>
      </c>
      <c r="AI539" s="30" t="n">
        <v>0</v>
      </c>
      <c r="AJ539" s="30" t="n">
        <v>0</v>
      </c>
      <c r="AK539" s="30" t="n">
        <v>0</v>
      </c>
      <c r="AL539" s="26"/>
    </row>
    <row collapsed="false" customFormat="false" customHeight="false" hidden="false" ht="14.5" outlineLevel="0" r="540">
      <c r="A540" s="30" t="n">
        <v>533</v>
      </c>
      <c r="B540" s="30" t="s">
        <v>45</v>
      </c>
      <c r="C540" s="30" t="s">
        <v>59</v>
      </c>
      <c r="D540" s="30" t="s">
        <v>732</v>
      </c>
      <c r="E540" s="30" t="n">
        <v>3</v>
      </c>
      <c r="F540" s="30" t="n">
        <v>10</v>
      </c>
      <c r="G540" s="30"/>
      <c r="H540" s="30" t="s">
        <v>733</v>
      </c>
      <c r="I540" s="30" t="s">
        <v>131</v>
      </c>
      <c r="J540" s="30"/>
      <c r="K540" s="30" t="s">
        <v>51</v>
      </c>
      <c r="L540" s="30" t="s">
        <v>57</v>
      </c>
      <c r="M540" s="30" t="n">
        <v>1985</v>
      </c>
      <c r="N540" s="30" t="s">
        <v>58</v>
      </c>
      <c r="O540" s="30" t="n">
        <v>5</v>
      </c>
      <c r="P540" s="30" t="n">
        <v>0</v>
      </c>
      <c r="Q540" s="30" t="n">
        <v>3</v>
      </c>
      <c r="R540" s="30" t="n">
        <v>56</v>
      </c>
      <c r="S540" s="30" t="n">
        <v>2955.6</v>
      </c>
      <c r="T540" s="30" t="n">
        <v>2955.6</v>
      </c>
      <c r="U540" s="30" t="n">
        <v>2955.6</v>
      </c>
      <c r="V540" s="30"/>
      <c r="W540" s="30" t="s">
        <v>53</v>
      </c>
      <c r="X540" s="30" t="s">
        <v>53</v>
      </c>
      <c r="Y540" s="30" t="s">
        <v>53</v>
      </c>
      <c r="Z540" s="30" t="s">
        <v>53</v>
      </c>
      <c r="AA540" s="30" t="s">
        <v>53</v>
      </c>
      <c r="AB540" s="30" t="s">
        <v>53</v>
      </c>
      <c r="AC540" s="30" t="s">
        <v>54</v>
      </c>
      <c r="AD540" s="30" t="s">
        <v>53</v>
      </c>
      <c r="AE540" s="30" t="s">
        <v>54</v>
      </c>
      <c r="AF540" s="30" t="n">
        <v>0</v>
      </c>
      <c r="AG540" s="30" t="n">
        <v>0</v>
      </c>
      <c r="AH540" s="30" t="n">
        <v>1</v>
      </c>
      <c r="AI540" s="30" t="n">
        <v>1</v>
      </c>
      <c r="AJ540" s="30" t="n">
        <v>1</v>
      </c>
      <c r="AK540" s="30" t="n">
        <v>0</v>
      </c>
      <c r="AL540" s="26"/>
    </row>
    <row collapsed="false" customFormat="false" customHeight="false" hidden="false" ht="14.5" outlineLevel="0" r="541">
      <c r="A541" s="30" t="n">
        <v>534</v>
      </c>
      <c r="B541" s="30" t="s">
        <v>45</v>
      </c>
      <c r="C541" s="30" t="s">
        <v>59</v>
      </c>
      <c r="D541" s="30" t="s">
        <v>732</v>
      </c>
      <c r="E541" s="30" t="n">
        <v>3</v>
      </c>
      <c r="F541" s="30" t="n">
        <v>11</v>
      </c>
      <c r="G541" s="30"/>
      <c r="H541" s="30" t="s">
        <v>734</v>
      </c>
      <c r="I541" s="30" t="s">
        <v>131</v>
      </c>
      <c r="J541" s="30"/>
      <c r="K541" s="30" t="s">
        <v>51</v>
      </c>
      <c r="L541" s="30" t="s">
        <v>57</v>
      </c>
      <c r="M541" s="30" t="n">
        <v>1989</v>
      </c>
      <c r="N541" s="30" t="s">
        <v>58</v>
      </c>
      <c r="O541" s="30" t="n">
        <v>5</v>
      </c>
      <c r="P541" s="30" t="n">
        <v>0</v>
      </c>
      <c r="Q541" s="30" t="n">
        <v>4</v>
      </c>
      <c r="R541" s="30" t="n">
        <v>77</v>
      </c>
      <c r="S541" s="30" t="n">
        <v>4307</v>
      </c>
      <c r="T541" s="30" t="n">
        <v>4307</v>
      </c>
      <c r="U541" s="30" t="n">
        <v>3758.2</v>
      </c>
      <c r="V541" s="30" t="n">
        <v>548.8</v>
      </c>
      <c r="W541" s="30" t="s">
        <v>53</v>
      </c>
      <c r="X541" s="30" t="s">
        <v>53</v>
      </c>
      <c r="Y541" s="30" t="s">
        <v>53</v>
      </c>
      <c r="Z541" s="30" t="s">
        <v>53</v>
      </c>
      <c r="AA541" s="30" t="s">
        <v>53</v>
      </c>
      <c r="AB541" s="30" t="s">
        <v>53</v>
      </c>
      <c r="AC541" s="30" t="s">
        <v>54</v>
      </c>
      <c r="AD541" s="30" t="s">
        <v>53</v>
      </c>
      <c r="AE541" s="30" t="s">
        <v>54</v>
      </c>
      <c r="AF541" s="30" t="n">
        <v>0</v>
      </c>
      <c r="AG541" s="30" t="n">
        <v>0</v>
      </c>
      <c r="AH541" s="30" t="n">
        <v>1</v>
      </c>
      <c r="AI541" s="30" t="n">
        <v>1</v>
      </c>
      <c r="AJ541" s="30" t="n">
        <v>1</v>
      </c>
      <c r="AK541" s="30" t="n">
        <v>0</v>
      </c>
      <c r="AL541" s="26"/>
    </row>
    <row collapsed="false" customFormat="false" customHeight="false" hidden="false" ht="14.5" outlineLevel="0" r="542">
      <c r="A542" s="30" t="n">
        <v>535</v>
      </c>
      <c r="B542" s="30" t="s">
        <v>45</v>
      </c>
      <c r="C542" s="30" t="s">
        <v>46</v>
      </c>
      <c r="D542" s="30" t="s">
        <v>735</v>
      </c>
      <c r="E542" s="30" t="n">
        <v>3</v>
      </c>
      <c r="F542" s="30" t="n">
        <v>1</v>
      </c>
      <c r="G542" s="30"/>
      <c r="H542" s="30" t="s">
        <v>736</v>
      </c>
      <c r="I542" s="30" t="s">
        <v>56</v>
      </c>
      <c r="J542" s="30"/>
      <c r="K542" s="30" t="s">
        <v>101</v>
      </c>
      <c r="L542" s="30" t="s">
        <v>51</v>
      </c>
      <c r="M542" s="30" t="n">
        <v>1975</v>
      </c>
      <c r="N542" s="30"/>
      <c r="O542" s="30" t="n">
        <v>8</v>
      </c>
      <c r="P542" s="30" t="n">
        <v>0</v>
      </c>
      <c r="Q542" s="30" t="n">
        <v>2</v>
      </c>
      <c r="R542" s="30" t="n">
        <v>48</v>
      </c>
      <c r="S542" s="30" t="n">
        <v>2978.7</v>
      </c>
      <c r="T542" s="30" t="n">
        <v>2978.7</v>
      </c>
      <c r="U542" s="30" t="n">
        <v>2978.7</v>
      </c>
      <c r="V542" s="30"/>
      <c r="W542" s="30" t="s">
        <v>53</v>
      </c>
      <c r="X542" s="30" t="s">
        <v>53</v>
      </c>
      <c r="Y542" s="30" t="s">
        <v>54</v>
      </c>
      <c r="Z542" s="30" t="s">
        <v>53</v>
      </c>
      <c r="AA542" s="30" t="s">
        <v>53</v>
      </c>
      <c r="AB542" s="30" t="s">
        <v>53</v>
      </c>
      <c r="AC542" s="30" t="s">
        <v>53</v>
      </c>
      <c r="AD542" s="30" t="s">
        <v>53</v>
      </c>
      <c r="AE542" s="30" t="s">
        <v>54</v>
      </c>
      <c r="AF542" s="30" t="n">
        <v>2</v>
      </c>
      <c r="AG542" s="30" t="n">
        <v>0</v>
      </c>
      <c r="AH542" s="30" t="n">
        <v>1</v>
      </c>
      <c r="AI542" s="30" t="n">
        <v>0</v>
      </c>
      <c r="AJ542" s="30" t="n">
        <v>1</v>
      </c>
      <c r="AK542" s="30" t="n">
        <v>0</v>
      </c>
      <c r="AL542" s="26"/>
    </row>
    <row collapsed="false" customFormat="false" customHeight="false" hidden="false" ht="14.5" outlineLevel="0" r="543">
      <c r="A543" s="30" t="n">
        <v>536</v>
      </c>
      <c r="B543" s="30" t="s">
        <v>45</v>
      </c>
      <c r="C543" s="30" t="s">
        <v>46</v>
      </c>
      <c r="D543" s="30" t="s">
        <v>735</v>
      </c>
      <c r="E543" s="30" t="n">
        <v>3</v>
      </c>
      <c r="F543" s="30" t="n">
        <v>2</v>
      </c>
      <c r="G543" s="30"/>
      <c r="H543" s="30" t="s">
        <v>737</v>
      </c>
      <c r="I543" s="30" t="s">
        <v>56</v>
      </c>
      <c r="J543" s="30"/>
      <c r="K543" s="30" t="s">
        <v>138</v>
      </c>
      <c r="L543" s="30" t="s">
        <v>57</v>
      </c>
      <c r="M543" s="30" t="n">
        <v>1975</v>
      </c>
      <c r="N543" s="30" t="s">
        <v>108</v>
      </c>
      <c r="O543" s="30" t="n">
        <v>5</v>
      </c>
      <c r="P543" s="30" t="n">
        <v>0</v>
      </c>
      <c r="Q543" s="30" t="n">
        <v>6</v>
      </c>
      <c r="R543" s="30" t="n">
        <v>90</v>
      </c>
      <c r="S543" s="30" t="n">
        <v>4452</v>
      </c>
      <c r="T543" s="30" t="n">
        <v>4452</v>
      </c>
      <c r="U543" s="30" t="n">
        <v>4452</v>
      </c>
      <c r="V543" s="30"/>
      <c r="W543" s="30" t="s">
        <v>53</v>
      </c>
      <c r="X543" s="30" t="s">
        <v>53</v>
      </c>
      <c r="Y543" s="30" t="s">
        <v>54</v>
      </c>
      <c r="Z543" s="30" t="s">
        <v>53</v>
      </c>
      <c r="AA543" s="30" t="s">
        <v>53</v>
      </c>
      <c r="AB543" s="30" t="s">
        <v>53</v>
      </c>
      <c r="AC543" s="30" t="s">
        <v>53</v>
      </c>
      <c r="AD543" s="30" t="s">
        <v>53</v>
      </c>
      <c r="AE543" s="30" t="s">
        <v>54</v>
      </c>
      <c r="AF543" s="30" t="n">
        <v>0</v>
      </c>
      <c r="AG543" s="30" t="n">
        <v>0</v>
      </c>
      <c r="AH543" s="30" t="n">
        <v>1</v>
      </c>
      <c r="AI543" s="30" t="n">
        <v>0</v>
      </c>
      <c r="AJ543" s="30" t="n">
        <v>1</v>
      </c>
      <c r="AK543" s="30" t="n">
        <v>0</v>
      </c>
      <c r="AL543" s="26"/>
    </row>
    <row collapsed="false" customFormat="false" customHeight="false" hidden="false" ht="14.5" outlineLevel="0" r="544">
      <c r="A544" s="30" t="n">
        <v>537</v>
      </c>
      <c r="B544" s="30" t="s">
        <v>45</v>
      </c>
      <c r="C544" s="30" t="s">
        <v>46</v>
      </c>
      <c r="D544" s="30" t="s">
        <v>735</v>
      </c>
      <c r="E544" s="30" t="n">
        <v>3</v>
      </c>
      <c r="F544" s="30" t="n">
        <v>3</v>
      </c>
      <c r="G544" s="30"/>
      <c r="H544" s="30" t="s">
        <v>738</v>
      </c>
      <c r="I544" s="30" t="s">
        <v>56</v>
      </c>
      <c r="J544" s="30"/>
      <c r="K544" s="30" t="s">
        <v>138</v>
      </c>
      <c r="L544" s="30" t="s">
        <v>57</v>
      </c>
      <c r="M544" s="30" t="n">
        <v>1975</v>
      </c>
      <c r="N544" s="30" t="s">
        <v>108</v>
      </c>
      <c r="O544" s="30" t="n">
        <v>5</v>
      </c>
      <c r="P544" s="30" t="n">
        <v>0</v>
      </c>
      <c r="Q544" s="30" t="n">
        <v>6</v>
      </c>
      <c r="R544" s="30" t="n">
        <v>90</v>
      </c>
      <c r="S544" s="30" t="n">
        <v>4397.7</v>
      </c>
      <c r="T544" s="30" t="n">
        <v>4397.7</v>
      </c>
      <c r="U544" s="30" t="n">
        <v>4397.7</v>
      </c>
      <c r="V544" s="30"/>
      <c r="W544" s="30" t="s">
        <v>53</v>
      </c>
      <c r="X544" s="30" t="s">
        <v>53</v>
      </c>
      <c r="Y544" s="30" t="s">
        <v>54</v>
      </c>
      <c r="Z544" s="30" t="s">
        <v>53</v>
      </c>
      <c r="AA544" s="30" t="s">
        <v>53</v>
      </c>
      <c r="AB544" s="30" t="s">
        <v>53</v>
      </c>
      <c r="AC544" s="30" t="s">
        <v>53</v>
      </c>
      <c r="AD544" s="30" t="s">
        <v>53</v>
      </c>
      <c r="AE544" s="30" t="s">
        <v>54</v>
      </c>
      <c r="AF544" s="30" t="n">
        <v>0</v>
      </c>
      <c r="AG544" s="30" t="n">
        <v>0</v>
      </c>
      <c r="AH544" s="30" t="n">
        <v>1</v>
      </c>
      <c r="AI544" s="30" t="n">
        <v>0</v>
      </c>
      <c r="AJ544" s="30" t="n">
        <v>1</v>
      </c>
      <c r="AK544" s="30" t="n">
        <v>0</v>
      </c>
      <c r="AL544" s="26"/>
    </row>
    <row collapsed="false" customFormat="false" customHeight="false" hidden="false" ht="14.5" outlineLevel="0" r="545">
      <c r="A545" s="30" t="n">
        <v>538</v>
      </c>
      <c r="B545" s="30" t="s">
        <v>45</v>
      </c>
      <c r="C545" s="30" t="s">
        <v>46</v>
      </c>
      <c r="D545" s="30" t="s">
        <v>735</v>
      </c>
      <c r="E545" s="30" t="n">
        <v>5</v>
      </c>
      <c r="F545" s="30" t="n">
        <v>1</v>
      </c>
      <c r="G545" s="30"/>
      <c r="H545" s="30" t="s">
        <v>739</v>
      </c>
      <c r="I545" s="30" t="s">
        <v>56</v>
      </c>
      <c r="J545" s="30"/>
      <c r="K545" s="30" t="s">
        <v>101</v>
      </c>
      <c r="L545" s="30" t="s">
        <v>57</v>
      </c>
      <c r="M545" s="30" t="n">
        <v>1973</v>
      </c>
      <c r="N545" s="30" t="s">
        <v>58</v>
      </c>
      <c r="O545" s="30" t="n">
        <v>5</v>
      </c>
      <c r="P545" s="30" t="n">
        <v>0</v>
      </c>
      <c r="Q545" s="30" t="n">
        <v>8</v>
      </c>
      <c r="R545" s="30" t="n">
        <v>129</v>
      </c>
      <c r="S545" s="30" t="n">
        <v>6373.9</v>
      </c>
      <c r="T545" s="30" t="n">
        <v>6373.9</v>
      </c>
      <c r="U545" s="30" t="n">
        <v>6373.9</v>
      </c>
      <c r="V545" s="30"/>
      <c r="W545" s="30" t="s">
        <v>53</v>
      </c>
      <c r="X545" s="30" t="s">
        <v>53</v>
      </c>
      <c r="Y545" s="30" t="s">
        <v>54</v>
      </c>
      <c r="Z545" s="30" t="s">
        <v>53</v>
      </c>
      <c r="AA545" s="30" t="s">
        <v>53</v>
      </c>
      <c r="AB545" s="30" t="s">
        <v>53</v>
      </c>
      <c r="AC545" s="30" t="s">
        <v>53</v>
      </c>
      <c r="AD545" s="30" t="s">
        <v>53</v>
      </c>
      <c r="AE545" s="30" t="s">
        <v>54</v>
      </c>
      <c r="AF545" s="30" t="n">
        <v>0</v>
      </c>
      <c r="AG545" s="30" t="n">
        <v>0</v>
      </c>
      <c r="AH545" s="30" t="n">
        <v>1</v>
      </c>
      <c r="AI545" s="30" t="n">
        <v>0</v>
      </c>
      <c r="AJ545" s="30" t="n">
        <v>1</v>
      </c>
      <c r="AK545" s="30" t="n">
        <v>0</v>
      </c>
      <c r="AL545" s="26"/>
    </row>
    <row collapsed="false" customFormat="false" customHeight="false" hidden="false" ht="14.5" outlineLevel="0" r="546">
      <c r="A546" s="30" t="n">
        <v>539</v>
      </c>
      <c r="B546" s="30" t="s">
        <v>45</v>
      </c>
      <c r="C546" s="30" t="s">
        <v>46</v>
      </c>
      <c r="D546" s="30" t="s">
        <v>735</v>
      </c>
      <c r="E546" s="30" t="n">
        <v>5</v>
      </c>
      <c r="F546" s="30" t="n">
        <v>2</v>
      </c>
      <c r="G546" s="30"/>
      <c r="H546" s="30" t="s">
        <v>740</v>
      </c>
      <c r="I546" s="30" t="s">
        <v>56</v>
      </c>
      <c r="J546" s="30"/>
      <c r="K546" s="30" t="s">
        <v>138</v>
      </c>
      <c r="L546" s="30" t="s">
        <v>57</v>
      </c>
      <c r="M546" s="30" t="n">
        <v>1975</v>
      </c>
      <c r="N546" s="30" t="s">
        <v>108</v>
      </c>
      <c r="O546" s="30" t="n">
        <v>5</v>
      </c>
      <c r="P546" s="30" t="n">
        <v>0</v>
      </c>
      <c r="Q546" s="30" t="n">
        <v>4</v>
      </c>
      <c r="R546" s="30" t="n">
        <v>60</v>
      </c>
      <c r="S546" s="30" t="n">
        <v>2722.6</v>
      </c>
      <c r="T546" s="30" t="n">
        <v>2722.6</v>
      </c>
      <c r="U546" s="30" t="n">
        <v>2661.5</v>
      </c>
      <c r="V546" s="30" t="n">
        <v>61.1</v>
      </c>
      <c r="W546" s="30" t="s">
        <v>53</v>
      </c>
      <c r="X546" s="30" t="s">
        <v>53</v>
      </c>
      <c r="Y546" s="30" t="s">
        <v>54</v>
      </c>
      <c r="Z546" s="30" t="s">
        <v>53</v>
      </c>
      <c r="AA546" s="30" t="s">
        <v>53</v>
      </c>
      <c r="AB546" s="30" t="s">
        <v>53</v>
      </c>
      <c r="AC546" s="30" t="s">
        <v>53</v>
      </c>
      <c r="AD546" s="30" t="s">
        <v>53</v>
      </c>
      <c r="AE546" s="30" t="s">
        <v>54</v>
      </c>
      <c r="AF546" s="30" t="n">
        <v>0</v>
      </c>
      <c r="AG546" s="30" t="n">
        <v>0</v>
      </c>
      <c r="AH546" s="30" t="n">
        <v>1</v>
      </c>
      <c r="AI546" s="30" t="n">
        <v>0</v>
      </c>
      <c r="AJ546" s="30" t="n">
        <v>1</v>
      </c>
      <c r="AK546" s="30" t="n">
        <v>0</v>
      </c>
      <c r="AL546" s="26"/>
    </row>
    <row collapsed="false" customFormat="false" customHeight="false" hidden="false" ht="14.5" outlineLevel="0" r="547">
      <c r="A547" s="30" t="n">
        <v>540</v>
      </c>
      <c r="B547" s="30" t="s">
        <v>45</v>
      </c>
      <c r="C547" s="30" t="s">
        <v>46</v>
      </c>
      <c r="D547" s="30" t="s">
        <v>735</v>
      </c>
      <c r="E547" s="30" t="n">
        <v>5</v>
      </c>
      <c r="F547" s="30" t="n">
        <v>4</v>
      </c>
      <c r="G547" s="30"/>
      <c r="H547" s="30" t="s">
        <v>741</v>
      </c>
      <c r="I547" s="30" t="s">
        <v>56</v>
      </c>
      <c r="J547" s="30"/>
      <c r="K547" s="30" t="s">
        <v>138</v>
      </c>
      <c r="L547" s="30" t="s">
        <v>57</v>
      </c>
      <c r="M547" s="30" t="n">
        <v>1972</v>
      </c>
      <c r="N547" s="30" t="s">
        <v>108</v>
      </c>
      <c r="O547" s="30" t="n">
        <v>5</v>
      </c>
      <c r="P547" s="30" t="n">
        <v>0</v>
      </c>
      <c r="Q547" s="30" t="n">
        <v>6</v>
      </c>
      <c r="R547" s="30" t="n">
        <v>90</v>
      </c>
      <c r="S547" s="30" t="n">
        <v>4534.7</v>
      </c>
      <c r="T547" s="30" t="n">
        <v>4534.7</v>
      </c>
      <c r="U547" s="30" t="n">
        <v>4534.7</v>
      </c>
      <c r="V547" s="30"/>
      <c r="W547" s="30" t="s">
        <v>53</v>
      </c>
      <c r="X547" s="30" t="s">
        <v>53</v>
      </c>
      <c r="Y547" s="30" t="s">
        <v>54</v>
      </c>
      <c r="Z547" s="30" t="s">
        <v>53</v>
      </c>
      <c r="AA547" s="30" t="s">
        <v>53</v>
      </c>
      <c r="AB547" s="30" t="s">
        <v>53</v>
      </c>
      <c r="AC547" s="30" t="s">
        <v>53</v>
      </c>
      <c r="AD547" s="30" t="s">
        <v>53</v>
      </c>
      <c r="AE547" s="30" t="s">
        <v>54</v>
      </c>
      <c r="AF547" s="30" t="n">
        <v>0</v>
      </c>
      <c r="AG547" s="30" t="n">
        <v>0</v>
      </c>
      <c r="AH547" s="30" t="n">
        <v>1</v>
      </c>
      <c r="AI547" s="30" t="n">
        <v>0</v>
      </c>
      <c r="AJ547" s="30" t="n">
        <v>1</v>
      </c>
      <c r="AK547" s="30" t="n">
        <v>0</v>
      </c>
      <c r="AL547" s="26"/>
    </row>
    <row collapsed="false" customFormat="false" customHeight="false" hidden="false" ht="14.5" outlineLevel="0" r="548">
      <c r="A548" s="30" t="n">
        <v>541</v>
      </c>
      <c r="B548" s="30" t="s">
        <v>45</v>
      </c>
      <c r="C548" s="30" t="s">
        <v>46</v>
      </c>
      <c r="D548" s="30" t="s">
        <v>735</v>
      </c>
      <c r="E548" s="30" t="n">
        <v>14</v>
      </c>
      <c r="F548" s="30" t="n">
        <v>1</v>
      </c>
      <c r="G548" s="30"/>
      <c r="H548" s="30" t="s">
        <v>742</v>
      </c>
      <c r="I548" s="30" t="s">
        <v>56</v>
      </c>
      <c r="J548" s="30"/>
      <c r="K548" s="30" t="s">
        <v>138</v>
      </c>
      <c r="L548" s="30" t="s">
        <v>57</v>
      </c>
      <c r="M548" s="30" t="n">
        <v>1982</v>
      </c>
      <c r="N548" s="30" t="s">
        <v>108</v>
      </c>
      <c r="O548" s="30" t="n">
        <v>9</v>
      </c>
      <c r="P548" s="30" t="n">
        <v>0</v>
      </c>
      <c r="Q548" s="30" t="n">
        <v>10</v>
      </c>
      <c r="R548" s="30" t="n">
        <v>358</v>
      </c>
      <c r="S548" s="30" t="n">
        <v>17822.9</v>
      </c>
      <c r="T548" s="30" t="n">
        <v>17822.9</v>
      </c>
      <c r="U548" s="30" t="n">
        <v>17755</v>
      </c>
      <c r="V548" s="30" t="n">
        <v>67.9</v>
      </c>
      <c r="W548" s="30" t="s">
        <v>53</v>
      </c>
      <c r="X548" s="30" t="s">
        <v>53</v>
      </c>
      <c r="Y548" s="30" t="s">
        <v>53</v>
      </c>
      <c r="Z548" s="30" t="s">
        <v>53</v>
      </c>
      <c r="AA548" s="30" t="s">
        <v>53</v>
      </c>
      <c r="AB548" s="30" t="s">
        <v>53</v>
      </c>
      <c r="AC548" s="30" t="s">
        <v>54</v>
      </c>
      <c r="AD548" s="30" t="s">
        <v>53</v>
      </c>
      <c r="AE548" s="30" t="s">
        <v>54</v>
      </c>
      <c r="AF548" s="30" t="n">
        <v>10</v>
      </c>
      <c r="AG548" s="30" t="n">
        <v>0</v>
      </c>
      <c r="AH548" s="30" t="n">
        <v>2</v>
      </c>
      <c r="AI548" s="30" t="n">
        <v>0</v>
      </c>
      <c r="AJ548" s="30" t="n">
        <v>4</v>
      </c>
      <c r="AK548" s="30" t="n">
        <v>0</v>
      </c>
      <c r="AL548" s="26"/>
    </row>
    <row collapsed="false" customFormat="false" customHeight="false" hidden="false" ht="14.5" outlineLevel="0" r="549">
      <c r="A549" s="30" t="n">
        <v>542</v>
      </c>
      <c r="B549" s="30" t="s">
        <v>45</v>
      </c>
      <c r="C549" s="30" t="s">
        <v>46</v>
      </c>
      <c r="D549" s="30" t="s">
        <v>735</v>
      </c>
      <c r="E549" s="30" t="n">
        <v>14</v>
      </c>
      <c r="F549" s="30" t="n">
        <v>2</v>
      </c>
      <c r="G549" s="30"/>
      <c r="H549" s="30" t="s">
        <v>743</v>
      </c>
      <c r="I549" s="30" t="s">
        <v>56</v>
      </c>
      <c r="J549" s="30"/>
      <c r="K549" s="30" t="s">
        <v>138</v>
      </c>
      <c r="L549" s="30" t="s">
        <v>57</v>
      </c>
      <c r="M549" s="30" t="n">
        <v>1993</v>
      </c>
      <c r="N549" s="30" t="s">
        <v>108</v>
      </c>
      <c r="O549" s="30" t="n">
        <v>9</v>
      </c>
      <c r="P549" s="30" t="n">
        <v>0</v>
      </c>
      <c r="Q549" s="30" t="n">
        <v>1</v>
      </c>
      <c r="R549" s="30" t="n">
        <v>36</v>
      </c>
      <c r="S549" s="30" t="n">
        <v>2394.5</v>
      </c>
      <c r="T549" s="30" t="n">
        <v>2394.5</v>
      </c>
      <c r="U549" s="30" t="n">
        <v>2140.7</v>
      </c>
      <c r="V549" s="30" t="n">
        <v>253.8</v>
      </c>
      <c r="W549" s="30" t="s">
        <v>53</v>
      </c>
      <c r="X549" s="30" t="s">
        <v>53</v>
      </c>
      <c r="Y549" s="30" t="s">
        <v>53</v>
      </c>
      <c r="Z549" s="30" t="s">
        <v>53</v>
      </c>
      <c r="AA549" s="30" t="s">
        <v>53</v>
      </c>
      <c r="AB549" s="30" t="s">
        <v>54</v>
      </c>
      <c r="AC549" s="30" t="s">
        <v>54</v>
      </c>
      <c r="AD549" s="30" t="s">
        <v>54</v>
      </c>
      <c r="AE549" s="30" t="s">
        <v>53</v>
      </c>
      <c r="AF549" s="30" t="n">
        <v>1</v>
      </c>
      <c r="AG549" s="30" t="n">
        <v>0</v>
      </c>
      <c r="AH549" s="30" t="n">
        <v>1</v>
      </c>
      <c r="AI549" s="30" t="n">
        <v>0</v>
      </c>
      <c r="AJ549" s="30" t="n">
        <v>0</v>
      </c>
      <c r="AK549" s="30" t="n">
        <v>0</v>
      </c>
      <c r="AL549" s="26"/>
    </row>
    <row collapsed="false" customFormat="false" customHeight="false" hidden="false" ht="14.5" outlineLevel="0" r="550">
      <c r="A550" s="30" t="n">
        <v>543</v>
      </c>
      <c r="B550" s="30" t="s">
        <v>45</v>
      </c>
      <c r="C550" s="30" t="s">
        <v>46</v>
      </c>
      <c r="D550" s="30" t="s">
        <v>735</v>
      </c>
      <c r="E550" s="30" t="n">
        <v>16</v>
      </c>
      <c r="F550" s="30"/>
      <c r="G550" s="30"/>
      <c r="H550" s="30" t="s">
        <v>744</v>
      </c>
      <c r="I550" s="30" t="s">
        <v>56</v>
      </c>
      <c r="J550" s="30"/>
      <c r="K550" s="30" t="s">
        <v>101</v>
      </c>
      <c r="L550" s="30" t="s">
        <v>57</v>
      </c>
      <c r="M550" s="30" t="n">
        <v>1999</v>
      </c>
      <c r="N550" s="30" t="s">
        <v>58</v>
      </c>
      <c r="O550" s="30" t="n">
        <v>9</v>
      </c>
      <c r="P550" s="30" t="n">
        <v>0</v>
      </c>
      <c r="Q550" s="30" t="n">
        <v>5</v>
      </c>
      <c r="R550" s="30" t="n">
        <v>152</v>
      </c>
      <c r="S550" s="30" t="n">
        <v>11797.2</v>
      </c>
      <c r="T550" s="30" t="n">
        <v>11797.2</v>
      </c>
      <c r="U550" s="30" t="n">
        <v>9761.7</v>
      </c>
      <c r="V550" s="30" t="n">
        <v>2035.5</v>
      </c>
      <c r="W550" s="30" t="s">
        <v>53</v>
      </c>
      <c r="X550" s="30" t="s">
        <v>53</v>
      </c>
      <c r="Y550" s="30" t="s">
        <v>53</v>
      </c>
      <c r="Z550" s="30" t="s">
        <v>53</v>
      </c>
      <c r="AA550" s="30" t="s">
        <v>53</v>
      </c>
      <c r="AB550" s="30" t="s">
        <v>53</v>
      </c>
      <c r="AC550" s="30" t="s">
        <v>54</v>
      </c>
      <c r="AD550" s="30" t="s">
        <v>53</v>
      </c>
      <c r="AE550" s="30" t="s">
        <v>54</v>
      </c>
      <c r="AF550" s="30" t="n">
        <v>5</v>
      </c>
      <c r="AG550" s="30" t="n">
        <v>0</v>
      </c>
      <c r="AH550" s="30" t="n">
        <v>1</v>
      </c>
      <c r="AI550" s="30" t="n">
        <v>0</v>
      </c>
      <c r="AJ550" s="30" t="n">
        <v>3</v>
      </c>
      <c r="AK550" s="30" t="n">
        <v>0</v>
      </c>
      <c r="AL550" s="26"/>
    </row>
    <row collapsed="false" customFormat="false" customHeight="true" hidden="false" ht="14.25" outlineLevel="0" r="551">
      <c r="A551" s="30" t="n">
        <v>544</v>
      </c>
      <c r="B551" s="30" t="s">
        <v>45</v>
      </c>
      <c r="C551" s="30" t="s">
        <v>206</v>
      </c>
      <c r="D551" s="30" t="s">
        <v>745</v>
      </c>
      <c r="E551" s="30" t="n">
        <v>1</v>
      </c>
      <c r="F551" s="30"/>
      <c r="G551" s="30"/>
      <c r="H551" s="30" t="s">
        <v>746</v>
      </c>
      <c r="I551" s="30" t="s">
        <v>56</v>
      </c>
      <c r="J551" s="30"/>
      <c r="K551" s="30"/>
      <c r="L551" s="30" t="s">
        <v>51</v>
      </c>
      <c r="M551" s="30"/>
      <c r="N551" s="30" t="s">
        <v>58</v>
      </c>
      <c r="O551" s="30" t="n">
        <v>3</v>
      </c>
      <c r="P551" s="30" t="n">
        <v>0</v>
      </c>
      <c r="Q551" s="30" t="n">
        <v>4</v>
      </c>
      <c r="R551" s="30" t="n">
        <v>12</v>
      </c>
      <c r="S551" s="30" t="n">
        <v>3631.6</v>
      </c>
      <c r="T551" s="30" t="n">
        <v>3631.6</v>
      </c>
      <c r="U551" s="30" t="n">
        <v>2189.9</v>
      </c>
      <c r="V551" s="30" t="n">
        <v>1441.7</v>
      </c>
      <c r="W551" s="30" t="s">
        <v>53</v>
      </c>
      <c r="X551" s="30" t="s">
        <v>53</v>
      </c>
      <c r="Y551" s="30" t="s">
        <v>54</v>
      </c>
      <c r="Z551" s="30" t="s">
        <v>53</v>
      </c>
      <c r="AA551" s="30" t="s">
        <v>53</v>
      </c>
      <c r="AB551" s="30" t="s">
        <v>53</v>
      </c>
      <c r="AC551" s="30" t="s">
        <v>53</v>
      </c>
      <c r="AD551" s="30" t="s">
        <v>53</v>
      </c>
      <c r="AE551" s="30" t="s">
        <v>54</v>
      </c>
      <c r="AF551" s="30" t="n">
        <v>0</v>
      </c>
      <c r="AG551" s="30" t="n">
        <v>0</v>
      </c>
      <c r="AH551" s="30" t="n">
        <v>1</v>
      </c>
      <c r="AI551" s="30" t="n">
        <v>0</v>
      </c>
      <c r="AJ551" s="30" t="n">
        <v>1</v>
      </c>
      <c r="AK551" s="30" t="n">
        <v>0</v>
      </c>
      <c r="AL551" s="26"/>
    </row>
    <row collapsed="false" customFormat="false" customHeight="true" hidden="false" ht="21" outlineLevel="0" r="552">
      <c r="A552" s="30" t="n">
        <v>545</v>
      </c>
      <c r="B552" s="30" t="s">
        <v>45</v>
      </c>
      <c r="C552" s="30" t="s">
        <v>59</v>
      </c>
      <c r="D552" s="30" t="s">
        <v>747</v>
      </c>
      <c r="E552" s="30" t="n">
        <v>3</v>
      </c>
      <c r="F552" s="30"/>
      <c r="G552" s="30"/>
      <c r="H552" s="30" t="s">
        <v>748</v>
      </c>
      <c r="I552" s="30" t="s">
        <v>56</v>
      </c>
      <c r="J552" s="30"/>
      <c r="K552" s="30" t="s">
        <v>64</v>
      </c>
      <c r="L552" s="30" t="s">
        <v>57</v>
      </c>
      <c r="M552" s="30" t="n">
        <v>1969</v>
      </c>
      <c r="N552" s="30" t="s">
        <v>58</v>
      </c>
      <c r="O552" s="30" t="n">
        <v>5</v>
      </c>
      <c r="P552" s="30" t="n">
        <v>0</v>
      </c>
      <c r="Q552" s="30" t="n">
        <v>4</v>
      </c>
      <c r="R552" s="30" t="n">
        <v>80</v>
      </c>
      <c r="S552" s="30" t="n">
        <v>3454</v>
      </c>
      <c r="T552" s="30" t="n">
        <v>3454</v>
      </c>
      <c r="U552" s="30" t="n">
        <v>3454</v>
      </c>
      <c r="V552" s="30"/>
      <c r="W552" s="30" t="s">
        <v>53</v>
      </c>
      <c r="X552" s="30" t="s">
        <v>53</v>
      </c>
      <c r="Y552" s="30" t="s">
        <v>53</v>
      </c>
      <c r="Z552" s="30" t="s">
        <v>53</v>
      </c>
      <c r="AA552" s="30" t="s">
        <v>53</v>
      </c>
      <c r="AB552" s="30" t="s">
        <v>53</v>
      </c>
      <c r="AC552" s="30" t="s">
        <v>53</v>
      </c>
      <c r="AD552" s="30" t="s">
        <v>53</v>
      </c>
      <c r="AE552" s="30" t="s">
        <v>54</v>
      </c>
      <c r="AF552" s="30" t="n">
        <v>0</v>
      </c>
      <c r="AG552" s="30" t="n">
        <v>0</v>
      </c>
      <c r="AH552" s="30" t="n">
        <v>1</v>
      </c>
      <c r="AI552" s="30" t="n">
        <v>0</v>
      </c>
      <c r="AJ552" s="30" t="n">
        <v>1</v>
      </c>
      <c r="AK552" s="30" t="n">
        <v>0</v>
      </c>
      <c r="AL552" s="26"/>
    </row>
    <row collapsed="false" customFormat="false" customHeight="false" hidden="false" ht="14.5" outlineLevel="0" r="553">
      <c r="A553" s="30" t="n">
        <v>546</v>
      </c>
      <c r="B553" s="30" t="s">
        <v>45</v>
      </c>
      <c r="C553" s="30" t="s">
        <v>59</v>
      </c>
      <c r="D553" s="30" t="s">
        <v>747</v>
      </c>
      <c r="E553" s="30" t="n">
        <v>5</v>
      </c>
      <c r="F553" s="30"/>
      <c r="G553" s="30"/>
      <c r="H553" s="30" t="s">
        <v>749</v>
      </c>
      <c r="I553" s="30" t="s">
        <v>56</v>
      </c>
      <c r="J553" s="30"/>
      <c r="K553" s="30" t="s">
        <v>64</v>
      </c>
      <c r="L553" s="30" t="s">
        <v>57</v>
      </c>
      <c r="M553" s="30" t="n">
        <v>1969</v>
      </c>
      <c r="N553" s="30" t="s">
        <v>58</v>
      </c>
      <c r="O553" s="30" t="n">
        <v>5</v>
      </c>
      <c r="P553" s="30" t="n">
        <v>0</v>
      </c>
      <c r="Q553" s="30" t="n">
        <v>4</v>
      </c>
      <c r="R553" s="30" t="n">
        <v>80</v>
      </c>
      <c r="S553" s="30" t="n">
        <v>3443</v>
      </c>
      <c r="T553" s="30" t="n">
        <v>3443</v>
      </c>
      <c r="U553" s="30" t="n">
        <v>3443</v>
      </c>
      <c r="V553" s="30"/>
      <c r="W553" s="30" t="s">
        <v>53</v>
      </c>
      <c r="X553" s="30" t="s">
        <v>53</v>
      </c>
      <c r="Y553" s="30" t="s">
        <v>53</v>
      </c>
      <c r="Z553" s="30" t="s">
        <v>53</v>
      </c>
      <c r="AA553" s="30" t="s">
        <v>53</v>
      </c>
      <c r="AB553" s="30" t="s">
        <v>53</v>
      </c>
      <c r="AC553" s="30" t="s">
        <v>53</v>
      </c>
      <c r="AD553" s="30" t="s">
        <v>53</v>
      </c>
      <c r="AE553" s="30" t="s">
        <v>54</v>
      </c>
      <c r="AF553" s="30" t="n">
        <v>0</v>
      </c>
      <c r="AG553" s="30" t="n">
        <v>0</v>
      </c>
      <c r="AH553" s="30" t="n">
        <v>1</v>
      </c>
      <c r="AI553" s="30" t="n">
        <v>0</v>
      </c>
      <c r="AJ553" s="30" t="n">
        <v>1</v>
      </c>
      <c r="AK553" s="30" t="n">
        <v>0</v>
      </c>
      <c r="AL553" s="26"/>
    </row>
    <row collapsed="false" customFormat="false" customHeight="false" hidden="false" ht="14.5" outlineLevel="0" r="554">
      <c r="A554" s="30" t="n">
        <v>547</v>
      </c>
      <c r="B554" s="30" t="s">
        <v>45</v>
      </c>
      <c r="C554" s="30" t="s">
        <v>59</v>
      </c>
      <c r="D554" s="30" t="s">
        <v>747</v>
      </c>
      <c r="E554" s="30" t="n">
        <v>11</v>
      </c>
      <c r="F554" s="30"/>
      <c r="G554" s="30"/>
      <c r="H554" s="30" t="s">
        <v>750</v>
      </c>
      <c r="I554" s="30" t="s">
        <v>56</v>
      </c>
      <c r="J554" s="30"/>
      <c r="K554" s="30" t="s">
        <v>64</v>
      </c>
      <c r="L554" s="30" t="s">
        <v>57</v>
      </c>
      <c r="M554" s="30" t="n">
        <v>1969</v>
      </c>
      <c r="N554" s="30" t="s">
        <v>58</v>
      </c>
      <c r="O554" s="30" t="n">
        <v>5</v>
      </c>
      <c r="P554" s="30" t="n">
        <v>0</v>
      </c>
      <c r="Q554" s="30" t="n">
        <v>4</v>
      </c>
      <c r="R554" s="30" t="n">
        <v>80</v>
      </c>
      <c r="S554" s="30" t="n">
        <v>3447</v>
      </c>
      <c r="T554" s="30" t="n">
        <v>3447</v>
      </c>
      <c r="U554" s="30" t="n">
        <v>3447</v>
      </c>
      <c r="V554" s="30"/>
      <c r="W554" s="30" t="s">
        <v>53</v>
      </c>
      <c r="X554" s="30" t="s">
        <v>53</v>
      </c>
      <c r="Y554" s="30" t="s">
        <v>53</v>
      </c>
      <c r="Z554" s="30" t="s">
        <v>53</v>
      </c>
      <c r="AA554" s="30" t="s">
        <v>53</v>
      </c>
      <c r="AB554" s="30" t="s">
        <v>53</v>
      </c>
      <c r="AC554" s="30" t="s">
        <v>53</v>
      </c>
      <c r="AD554" s="30" t="s">
        <v>53</v>
      </c>
      <c r="AE554" s="30" t="s">
        <v>54</v>
      </c>
      <c r="AF554" s="30" t="n">
        <v>0</v>
      </c>
      <c r="AG554" s="30" t="n">
        <v>0</v>
      </c>
      <c r="AH554" s="30" t="n">
        <v>1</v>
      </c>
      <c r="AI554" s="30" t="n">
        <v>0</v>
      </c>
      <c r="AJ554" s="30" t="n">
        <v>1</v>
      </c>
      <c r="AK554" s="30" t="n">
        <v>0</v>
      </c>
      <c r="AL554" s="26"/>
    </row>
    <row collapsed="false" customFormat="false" customHeight="false" hidden="false" ht="14.5" outlineLevel="0" r="555">
      <c r="A555" s="30" t="n">
        <v>548</v>
      </c>
      <c r="B555" s="30" t="s">
        <v>45</v>
      </c>
      <c r="C555" s="30" t="s">
        <v>59</v>
      </c>
      <c r="D555" s="30" t="s">
        <v>747</v>
      </c>
      <c r="E555" s="30" t="n">
        <v>13</v>
      </c>
      <c r="F555" s="30"/>
      <c r="G555" s="30"/>
      <c r="H555" s="30" t="s">
        <v>751</v>
      </c>
      <c r="I555" s="30" t="s">
        <v>56</v>
      </c>
      <c r="J555" s="30"/>
      <c r="K555" s="30" t="s">
        <v>101</v>
      </c>
      <c r="L555" s="30" t="s">
        <v>57</v>
      </c>
      <c r="M555" s="30" t="n">
        <v>1969</v>
      </c>
      <c r="N555" s="30" t="s">
        <v>58</v>
      </c>
      <c r="O555" s="30" t="n">
        <v>9</v>
      </c>
      <c r="P555" s="30" t="n">
        <v>0</v>
      </c>
      <c r="Q555" s="30" t="n">
        <v>1</v>
      </c>
      <c r="R555" s="30" t="n">
        <v>45</v>
      </c>
      <c r="S555" s="30" t="n">
        <v>2040</v>
      </c>
      <c r="T555" s="30" t="n">
        <v>2040</v>
      </c>
      <c r="U555" s="30" t="n">
        <v>2040</v>
      </c>
      <c r="V555" s="30"/>
      <c r="W555" s="30" t="s">
        <v>53</v>
      </c>
      <c r="X555" s="30" t="s">
        <v>53</v>
      </c>
      <c r="Y555" s="30" t="s">
        <v>53</v>
      </c>
      <c r="Z555" s="30" t="s">
        <v>53</v>
      </c>
      <c r="AA555" s="30" t="s">
        <v>53</v>
      </c>
      <c r="AB555" s="30" t="s">
        <v>53</v>
      </c>
      <c r="AC555" s="30" t="s">
        <v>53</v>
      </c>
      <c r="AD555" s="30" t="s">
        <v>53</v>
      </c>
      <c r="AE555" s="30" t="s">
        <v>54</v>
      </c>
      <c r="AF555" s="30" t="n">
        <v>0</v>
      </c>
      <c r="AG555" s="30" t="n">
        <v>0</v>
      </c>
      <c r="AH555" s="30" t="n">
        <v>1</v>
      </c>
      <c r="AI555" s="30" t="n">
        <v>0</v>
      </c>
      <c r="AJ555" s="30" t="n">
        <v>1</v>
      </c>
      <c r="AK555" s="30" t="n">
        <v>0</v>
      </c>
      <c r="AL555" s="26"/>
    </row>
    <row collapsed="false" customFormat="false" customHeight="false" hidden="false" ht="14.5" outlineLevel="0" r="556">
      <c r="A556" s="30" t="n">
        <v>549</v>
      </c>
      <c r="B556" s="30" t="s">
        <v>45</v>
      </c>
      <c r="C556" s="30" t="s">
        <v>59</v>
      </c>
      <c r="D556" s="30" t="s">
        <v>747</v>
      </c>
      <c r="E556" s="30" t="s">
        <v>752</v>
      </c>
      <c r="F556" s="30"/>
      <c r="G556" s="30"/>
      <c r="H556" s="30" t="s">
        <v>753</v>
      </c>
      <c r="I556" s="30" t="s">
        <v>56</v>
      </c>
      <c r="J556" s="30"/>
      <c r="K556" s="30" t="s">
        <v>101</v>
      </c>
      <c r="L556" s="30" t="s">
        <v>57</v>
      </c>
      <c r="M556" s="30" t="n">
        <v>1988</v>
      </c>
      <c r="N556" s="30" t="s">
        <v>58</v>
      </c>
      <c r="O556" s="30" t="n">
        <v>5</v>
      </c>
      <c r="P556" s="30" t="n">
        <v>0</v>
      </c>
      <c r="Q556" s="30" t="n">
        <v>3</v>
      </c>
      <c r="R556" s="30" t="n">
        <v>22</v>
      </c>
      <c r="S556" s="30" t="n">
        <v>4084</v>
      </c>
      <c r="T556" s="30" t="n">
        <v>4084</v>
      </c>
      <c r="U556" s="30" t="n">
        <v>4084</v>
      </c>
      <c r="V556" s="30"/>
      <c r="W556" s="30" t="s">
        <v>53</v>
      </c>
      <c r="X556" s="30" t="s">
        <v>53</v>
      </c>
      <c r="Y556" s="30" t="s">
        <v>53</v>
      </c>
      <c r="Z556" s="30" t="s">
        <v>53</v>
      </c>
      <c r="AA556" s="30" t="s">
        <v>53</v>
      </c>
      <c r="AB556" s="30" t="s">
        <v>53</v>
      </c>
      <c r="AC556" s="30" t="s">
        <v>54</v>
      </c>
      <c r="AD556" s="30" t="s">
        <v>53</v>
      </c>
      <c r="AE556" s="30" t="s">
        <v>54</v>
      </c>
      <c r="AF556" s="30" t="n">
        <v>0</v>
      </c>
      <c r="AG556" s="30" t="n">
        <v>0</v>
      </c>
      <c r="AH556" s="30" t="n">
        <v>1</v>
      </c>
      <c r="AI556" s="30" t="n">
        <v>0</v>
      </c>
      <c r="AJ556" s="30" t="n">
        <v>1</v>
      </c>
      <c r="AK556" s="30" t="n">
        <v>0</v>
      </c>
      <c r="AL556" s="26"/>
    </row>
    <row collapsed="false" customFormat="false" customHeight="false" hidden="false" ht="14.5" outlineLevel="0" r="557">
      <c r="A557" s="30" t="n">
        <v>550</v>
      </c>
      <c r="B557" s="30" t="s">
        <v>45</v>
      </c>
      <c r="C557" s="30" t="s">
        <v>59</v>
      </c>
      <c r="D557" s="30" t="s">
        <v>754</v>
      </c>
      <c r="E557" s="30" t="n">
        <v>1</v>
      </c>
      <c r="F557" s="30" t="n">
        <v>1</v>
      </c>
      <c r="G557" s="30"/>
      <c r="H557" s="30" t="s">
        <v>755</v>
      </c>
      <c r="I557" s="30" t="s">
        <v>56</v>
      </c>
      <c r="J557" s="30"/>
      <c r="K557" s="30" t="s">
        <v>101</v>
      </c>
      <c r="L557" s="30" t="s">
        <v>57</v>
      </c>
      <c r="M557" s="30" t="n">
        <v>1983</v>
      </c>
      <c r="N557" s="30" t="s">
        <v>58</v>
      </c>
      <c r="O557" s="30" t="s">
        <v>756</v>
      </c>
      <c r="P557" s="30" t="n">
        <v>0</v>
      </c>
      <c r="Q557" s="30" t="n">
        <v>5</v>
      </c>
      <c r="R557" s="30" t="n">
        <v>127</v>
      </c>
      <c r="S557" s="30" t="n">
        <v>6280</v>
      </c>
      <c r="T557" s="30" t="n">
        <v>6280</v>
      </c>
      <c r="U557" s="30" t="n">
        <v>6280</v>
      </c>
      <c r="V557" s="30"/>
      <c r="W557" s="30" t="s">
        <v>53</v>
      </c>
      <c r="X557" s="30" t="s">
        <v>53</v>
      </c>
      <c r="Y557" s="30" t="s">
        <v>53</v>
      </c>
      <c r="Z557" s="30" t="s">
        <v>53</v>
      </c>
      <c r="AA557" s="30" t="s">
        <v>53</v>
      </c>
      <c r="AB557" s="30" t="s">
        <v>53</v>
      </c>
      <c r="AC557" s="30" t="s">
        <v>54</v>
      </c>
      <c r="AD557" s="30" t="s">
        <v>53</v>
      </c>
      <c r="AE557" s="30" t="s">
        <v>54</v>
      </c>
      <c r="AF557" s="30" t="n">
        <v>3</v>
      </c>
      <c r="AG557" s="30" t="n">
        <v>0</v>
      </c>
      <c r="AH557" s="30" t="n">
        <v>1</v>
      </c>
      <c r="AI557" s="30" t="n">
        <v>0</v>
      </c>
      <c r="AJ557" s="30" t="n">
        <v>3</v>
      </c>
      <c r="AK557" s="30" t="n">
        <v>0</v>
      </c>
      <c r="AL557" s="26"/>
    </row>
    <row collapsed="false" customFormat="false" customHeight="false" hidden="false" ht="14.5" outlineLevel="0" r="558">
      <c r="A558" s="30" t="n">
        <v>551</v>
      </c>
      <c r="B558" s="30" t="s">
        <v>45</v>
      </c>
      <c r="C558" s="30" t="s">
        <v>59</v>
      </c>
      <c r="D558" s="30" t="s">
        <v>754</v>
      </c>
      <c r="E558" s="30" t="n">
        <v>1</v>
      </c>
      <c r="F558" s="30" t="n">
        <v>2</v>
      </c>
      <c r="G558" s="30"/>
      <c r="H558" s="30" t="s">
        <v>757</v>
      </c>
      <c r="I558" s="30" t="s">
        <v>56</v>
      </c>
      <c r="J558" s="30"/>
      <c r="K558" s="30" t="s">
        <v>101</v>
      </c>
      <c r="L558" s="30" t="s">
        <v>57</v>
      </c>
      <c r="M558" s="30" t="n">
        <v>1983</v>
      </c>
      <c r="N558" s="30" t="s">
        <v>58</v>
      </c>
      <c r="O558" s="30" t="n">
        <v>9</v>
      </c>
      <c r="P558" s="30" t="n">
        <v>0</v>
      </c>
      <c r="Q558" s="30" t="n">
        <v>2</v>
      </c>
      <c r="R558" s="30" t="n">
        <v>70</v>
      </c>
      <c r="S558" s="30" t="n">
        <v>3333</v>
      </c>
      <c r="T558" s="30" t="n">
        <v>3333</v>
      </c>
      <c r="U558" s="30" t="n">
        <v>3333</v>
      </c>
      <c r="V558" s="30"/>
      <c r="W558" s="30" t="s">
        <v>53</v>
      </c>
      <c r="X558" s="30" t="s">
        <v>53</v>
      </c>
      <c r="Y558" s="30" t="s">
        <v>53</v>
      </c>
      <c r="Z558" s="30" t="s">
        <v>53</v>
      </c>
      <c r="AA558" s="30" t="s">
        <v>53</v>
      </c>
      <c r="AB558" s="30" t="s">
        <v>53</v>
      </c>
      <c r="AC558" s="30" t="s">
        <v>54</v>
      </c>
      <c r="AD558" s="30" t="s">
        <v>53</v>
      </c>
      <c r="AE558" s="30" t="s">
        <v>54</v>
      </c>
      <c r="AF558" s="30" t="n">
        <v>2</v>
      </c>
      <c r="AG558" s="30" t="n">
        <v>0</v>
      </c>
      <c r="AH558" s="30" t="n">
        <v>1</v>
      </c>
      <c r="AI558" s="30" t="n">
        <v>0</v>
      </c>
      <c r="AJ558" s="30" t="n">
        <v>1</v>
      </c>
      <c r="AK558" s="30" t="n">
        <v>0</v>
      </c>
      <c r="AL558" s="26"/>
    </row>
    <row collapsed="false" customFormat="false" customHeight="false" hidden="false" ht="14.5" outlineLevel="0" r="559">
      <c r="A559" s="30" t="n">
        <v>552</v>
      </c>
      <c r="B559" s="30" t="s">
        <v>45</v>
      </c>
      <c r="C559" s="30" t="s">
        <v>59</v>
      </c>
      <c r="D559" s="30" t="s">
        <v>754</v>
      </c>
      <c r="E559" s="30" t="s">
        <v>758</v>
      </c>
      <c r="F559" s="30"/>
      <c r="G559" s="30"/>
      <c r="H559" s="30" t="s">
        <v>759</v>
      </c>
      <c r="I559" s="30" t="s">
        <v>56</v>
      </c>
      <c r="J559" s="30"/>
      <c r="K559" s="30" t="s">
        <v>101</v>
      </c>
      <c r="L559" s="30" t="s">
        <v>57</v>
      </c>
      <c r="M559" s="30" t="n">
        <v>1978</v>
      </c>
      <c r="N559" s="30" t="s">
        <v>58</v>
      </c>
      <c r="O559" s="30" t="s">
        <v>240</v>
      </c>
      <c r="P559" s="30" t="n">
        <v>0</v>
      </c>
      <c r="Q559" s="30" t="n">
        <v>6</v>
      </c>
      <c r="R559" s="30" t="n">
        <v>162</v>
      </c>
      <c r="S559" s="30" t="n">
        <v>8150</v>
      </c>
      <c r="T559" s="30" t="n">
        <v>8150</v>
      </c>
      <c r="U559" s="30" t="n">
        <v>8150</v>
      </c>
      <c r="V559" s="30"/>
      <c r="W559" s="30" t="s">
        <v>53</v>
      </c>
      <c r="X559" s="30" t="s">
        <v>53</v>
      </c>
      <c r="Y559" s="30" t="s">
        <v>53</v>
      </c>
      <c r="Z559" s="30" t="s">
        <v>53</v>
      </c>
      <c r="AA559" s="30" t="s">
        <v>53</v>
      </c>
      <c r="AB559" s="30" t="s">
        <v>53</v>
      </c>
      <c r="AC559" s="30" t="s">
        <v>54</v>
      </c>
      <c r="AD559" s="30" t="s">
        <v>53</v>
      </c>
      <c r="AE559" s="30" t="s">
        <v>54</v>
      </c>
      <c r="AF559" s="30" t="n">
        <v>4</v>
      </c>
      <c r="AG559" s="30" t="n">
        <v>0</v>
      </c>
      <c r="AH559" s="30" t="n">
        <v>1</v>
      </c>
      <c r="AI559" s="30" t="n">
        <v>0</v>
      </c>
      <c r="AJ559" s="30" t="n">
        <v>2</v>
      </c>
      <c r="AK559" s="30" t="n">
        <v>0</v>
      </c>
      <c r="AL559" s="26"/>
    </row>
    <row collapsed="false" customFormat="false" customHeight="false" hidden="false" ht="14.5" outlineLevel="0" r="560">
      <c r="A560" s="30" t="n">
        <v>553</v>
      </c>
      <c r="B560" s="30" t="s">
        <v>45</v>
      </c>
      <c r="C560" s="30" t="s">
        <v>59</v>
      </c>
      <c r="D560" s="30" t="s">
        <v>754</v>
      </c>
      <c r="E560" s="30" t="n">
        <v>3</v>
      </c>
      <c r="F560" s="30" t="n">
        <v>1</v>
      </c>
      <c r="G560" s="30"/>
      <c r="H560" s="30" t="s">
        <v>760</v>
      </c>
      <c r="I560" s="30" t="s">
        <v>56</v>
      </c>
      <c r="J560" s="30"/>
      <c r="K560" s="30" t="s">
        <v>101</v>
      </c>
      <c r="L560" s="30" t="s">
        <v>57</v>
      </c>
      <c r="M560" s="30" t="n">
        <v>1982</v>
      </c>
      <c r="N560" s="30" t="s">
        <v>58</v>
      </c>
      <c r="O560" s="30" t="s">
        <v>761</v>
      </c>
      <c r="P560" s="30" t="n">
        <v>0</v>
      </c>
      <c r="Q560" s="30" t="n">
        <v>5</v>
      </c>
      <c r="R560" s="30" t="n">
        <v>128</v>
      </c>
      <c r="S560" s="30" t="n">
        <v>6240.6</v>
      </c>
      <c r="T560" s="30" t="n">
        <v>6240.6</v>
      </c>
      <c r="U560" s="30" t="n">
        <v>6207</v>
      </c>
      <c r="V560" s="30"/>
      <c r="W560" s="30" t="s">
        <v>53</v>
      </c>
      <c r="X560" s="30" t="s">
        <v>53</v>
      </c>
      <c r="Y560" s="30" t="s">
        <v>53</v>
      </c>
      <c r="Z560" s="30" t="s">
        <v>53</v>
      </c>
      <c r="AA560" s="30" t="s">
        <v>53</v>
      </c>
      <c r="AB560" s="30" t="s">
        <v>53</v>
      </c>
      <c r="AC560" s="30" t="s">
        <v>54</v>
      </c>
      <c r="AD560" s="30" t="s">
        <v>53</v>
      </c>
      <c r="AE560" s="30" t="s">
        <v>54</v>
      </c>
      <c r="AF560" s="30" t="n">
        <v>2</v>
      </c>
      <c r="AG560" s="30" t="n">
        <v>0</v>
      </c>
      <c r="AH560" s="30" t="n">
        <v>1</v>
      </c>
      <c r="AI560" s="30" t="n">
        <v>0</v>
      </c>
      <c r="AJ560" s="30" t="n">
        <v>2</v>
      </c>
      <c r="AK560" s="30" t="n">
        <v>0</v>
      </c>
      <c r="AL560" s="26"/>
    </row>
    <row collapsed="false" customFormat="false" customHeight="false" hidden="false" ht="14.5" outlineLevel="0" r="561">
      <c r="A561" s="30" t="n">
        <v>554</v>
      </c>
      <c r="B561" s="30" t="s">
        <v>45</v>
      </c>
      <c r="C561" s="30" t="s">
        <v>59</v>
      </c>
      <c r="D561" s="30" t="s">
        <v>754</v>
      </c>
      <c r="E561" s="30" t="n">
        <v>3</v>
      </c>
      <c r="F561" s="30" t="n">
        <v>2</v>
      </c>
      <c r="G561" s="30"/>
      <c r="H561" s="30" t="s">
        <v>762</v>
      </c>
      <c r="I561" s="30" t="s">
        <v>56</v>
      </c>
      <c r="J561" s="30"/>
      <c r="K561" s="30" t="s">
        <v>101</v>
      </c>
      <c r="L561" s="30" t="s">
        <v>57</v>
      </c>
      <c r="M561" s="30" t="n">
        <v>1982</v>
      </c>
      <c r="N561" s="30" t="s">
        <v>58</v>
      </c>
      <c r="O561" s="30" t="n">
        <v>9</v>
      </c>
      <c r="P561" s="30" t="n">
        <v>0</v>
      </c>
      <c r="Q561" s="30" t="n">
        <v>2</v>
      </c>
      <c r="R561" s="30" t="n">
        <v>70</v>
      </c>
      <c r="S561" s="30" t="n">
        <v>3324</v>
      </c>
      <c r="T561" s="30" t="n">
        <v>3324</v>
      </c>
      <c r="U561" s="30" t="n">
        <v>3324</v>
      </c>
      <c r="V561" s="30"/>
      <c r="W561" s="30" t="s">
        <v>53</v>
      </c>
      <c r="X561" s="30" t="s">
        <v>53</v>
      </c>
      <c r="Y561" s="30" t="s">
        <v>53</v>
      </c>
      <c r="Z561" s="30" t="s">
        <v>53</v>
      </c>
      <c r="AA561" s="30" t="s">
        <v>53</v>
      </c>
      <c r="AB561" s="30" t="s">
        <v>53</v>
      </c>
      <c r="AC561" s="30" t="s">
        <v>54</v>
      </c>
      <c r="AD561" s="30" t="s">
        <v>53</v>
      </c>
      <c r="AE561" s="30" t="s">
        <v>54</v>
      </c>
      <c r="AF561" s="30" t="n">
        <v>2</v>
      </c>
      <c r="AG561" s="30" t="n">
        <v>0</v>
      </c>
      <c r="AH561" s="30" t="n">
        <v>1</v>
      </c>
      <c r="AI561" s="30" t="n">
        <v>0</v>
      </c>
      <c r="AJ561" s="30" t="n">
        <v>1</v>
      </c>
      <c r="AK561" s="30" t="n">
        <v>0</v>
      </c>
      <c r="AL561" s="26"/>
    </row>
    <row collapsed="false" customFormat="false" customHeight="false" hidden="false" ht="14.5" outlineLevel="0" r="562">
      <c r="A562" s="30" t="n">
        <v>555</v>
      </c>
      <c r="B562" s="30" t="s">
        <v>45</v>
      </c>
      <c r="C562" s="30" t="s">
        <v>59</v>
      </c>
      <c r="D562" s="30" t="s">
        <v>754</v>
      </c>
      <c r="E562" s="30" t="n">
        <v>4</v>
      </c>
      <c r="F562" s="30" t="n">
        <v>2</v>
      </c>
      <c r="G562" s="30"/>
      <c r="H562" s="30" t="s">
        <v>763</v>
      </c>
      <c r="I562" s="30" t="s">
        <v>56</v>
      </c>
      <c r="J562" s="30"/>
      <c r="K562" s="30" t="s">
        <v>101</v>
      </c>
      <c r="L562" s="30" t="s">
        <v>57</v>
      </c>
      <c r="M562" s="30" t="n">
        <v>1978</v>
      </c>
      <c r="N562" s="30" t="s">
        <v>58</v>
      </c>
      <c r="O562" s="30" t="s">
        <v>764</v>
      </c>
      <c r="P562" s="30" t="n">
        <v>0</v>
      </c>
      <c r="Q562" s="30" t="n">
        <v>2</v>
      </c>
      <c r="R562" s="30" t="n">
        <v>48</v>
      </c>
      <c r="S562" s="30" t="n">
        <v>2425</v>
      </c>
      <c r="T562" s="30" t="n">
        <v>2425</v>
      </c>
      <c r="U562" s="30" t="n">
        <v>2425</v>
      </c>
      <c r="V562" s="30"/>
      <c r="W562" s="30" t="s">
        <v>53</v>
      </c>
      <c r="X562" s="30" t="s">
        <v>53</v>
      </c>
      <c r="Y562" s="30" t="s">
        <v>53</v>
      </c>
      <c r="Z562" s="30" t="s">
        <v>53</v>
      </c>
      <c r="AA562" s="30" t="s">
        <v>53</v>
      </c>
      <c r="AB562" s="30" t="s">
        <v>53</v>
      </c>
      <c r="AC562" s="30" t="s">
        <v>54</v>
      </c>
      <c r="AD562" s="30" t="s">
        <v>53</v>
      </c>
      <c r="AE562" s="30" t="s">
        <v>54</v>
      </c>
      <c r="AF562" s="30" t="n">
        <v>1</v>
      </c>
      <c r="AG562" s="30" t="n">
        <v>0</v>
      </c>
      <c r="AH562" s="30" t="n">
        <v>1</v>
      </c>
      <c r="AI562" s="30" t="n">
        <v>0</v>
      </c>
      <c r="AJ562" s="30" t="n">
        <v>1</v>
      </c>
      <c r="AK562" s="30" t="n">
        <v>0</v>
      </c>
      <c r="AL562" s="26"/>
    </row>
    <row collapsed="false" customFormat="false" customHeight="false" hidden="false" ht="14.5" outlineLevel="0" r="563">
      <c r="A563" s="30" t="n">
        <v>556</v>
      </c>
      <c r="B563" s="30" t="s">
        <v>45</v>
      </c>
      <c r="C563" s="30" t="s">
        <v>59</v>
      </c>
      <c r="D563" s="30" t="s">
        <v>754</v>
      </c>
      <c r="E563" s="30" t="n">
        <v>4</v>
      </c>
      <c r="F563" s="30" t="n">
        <v>3</v>
      </c>
      <c r="G563" s="30"/>
      <c r="H563" s="30" t="s">
        <v>765</v>
      </c>
      <c r="I563" s="30" t="s">
        <v>56</v>
      </c>
      <c r="J563" s="30"/>
      <c r="K563" s="30" t="s">
        <v>101</v>
      </c>
      <c r="L563" s="30" t="s">
        <v>57</v>
      </c>
      <c r="M563" s="30" t="n">
        <v>1978</v>
      </c>
      <c r="N563" s="30" t="s">
        <v>58</v>
      </c>
      <c r="O563" s="30" t="s">
        <v>766</v>
      </c>
      <c r="P563" s="30" t="n">
        <v>0</v>
      </c>
      <c r="Q563" s="30" t="n">
        <v>2</v>
      </c>
      <c r="R563" s="30" t="n">
        <v>63</v>
      </c>
      <c r="S563" s="30" t="n">
        <v>2970</v>
      </c>
      <c r="T563" s="30" t="n">
        <v>2970</v>
      </c>
      <c r="U563" s="30" t="n">
        <v>2970</v>
      </c>
      <c r="V563" s="30"/>
      <c r="W563" s="30" t="s">
        <v>53</v>
      </c>
      <c r="X563" s="30" t="s">
        <v>53</v>
      </c>
      <c r="Y563" s="30" t="s">
        <v>53</v>
      </c>
      <c r="Z563" s="30" t="s">
        <v>53</v>
      </c>
      <c r="AA563" s="30" t="s">
        <v>53</v>
      </c>
      <c r="AB563" s="30" t="s">
        <v>53</v>
      </c>
      <c r="AC563" s="30" t="s">
        <v>54</v>
      </c>
      <c r="AD563" s="30" t="s">
        <v>53</v>
      </c>
      <c r="AE563" s="30" t="s">
        <v>54</v>
      </c>
      <c r="AF563" s="30" t="n">
        <v>2</v>
      </c>
      <c r="AG563" s="30" t="n">
        <v>0</v>
      </c>
      <c r="AH563" s="30" t="n">
        <v>1</v>
      </c>
      <c r="AI563" s="30" t="n">
        <v>0</v>
      </c>
      <c r="AJ563" s="30" t="n">
        <v>1</v>
      </c>
      <c r="AK563" s="30" t="n">
        <v>0</v>
      </c>
      <c r="AL563" s="26"/>
    </row>
    <row collapsed="false" customFormat="false" customHeight="false" hidden="false" ht="14.5" outlineLevel="0" r="564">
      <c r="A564" s="30" t="n">
        <v>557</v>
      </c>
      <c r="B564" s="30" t="s">
        <v>45</v>
      </c>
      <c r="C564" s="30" t="s">
        <v>59</v>
      </c>
      <c r="D564" s="30" t="s">
        <v>754</v>
      </c>
      <c r="E564" s="30" t="n">
        <v>5</v>
      </c>
      <c r="F564" s="30" t="n">
        <v>1</v>
      </c>
      <c r="G564" s="30"/>
      <c r="H564" s="30" t="s">
        <v>767</v>
      </c>
      <c r="I564" s="30" t="s">
        <v>56</v>
      </c>
      <c r="J564" s="30"/>
      <c r="K564" s="30" t="s">
        <v>101</v>
      </c>
      <c r="L564" s="30" t="s">
        <v>57</v>
      </c>
      <c r="M564" s="30" t="n">
        <v>1981</v>
      </c>
      <c r="N564" s="30" t="s">
        <v>58</v>
      </c>
      <c r="O564" s="30" t="s">
        <v>768</v>
      </c>
      <c r="P564" s="30" t="n">
        <v>0</v>
      </c>
      <c r="Q564" s="30" t="n">
        <v>5</v>
      </c>
      <c r="R564" s="30" t="n">
        <v>119</v>
      </c>
      <c r="S564" s="30" t="n">
        <v>5848</v>
      </c>
      <c r="T564" s="30" t="n">
        <v>5848</v>
      </c>
      <c r="U564" s="30" t="n">
        <v>5799</v>
      </c>
      <c r="V564" s="30"/>
      <c r="W564" s="30" t="s">
        <v>53</v>
      </c>
      <c r="X564" s="30" t="s">
        <v>53</v>
      </c>
      <c r="Y564" s="30" t="s">
        <v>53</v>
      </c>
      <c r="Z564" s="30" t="s">
        <v>53</v>
      </c>
      <c r="AA564" s="30" t="s">
        <v>53</v>
      </c>
      <c r="AB564" s="30" t="s">
        <v>53</v>
      </c>
      <c r="AC564" s="30" t="s">
        <v>54</v>
      </c>
      <c r="AD564" s="30" t="s">
        <v>53</v>
      </c>
      <c r="AE564" s="30" t="s">
        <v>54</v>
      </c>
      <c r="AF564" s="30" t="n">
        <v>3</v>
      </c>
      <c r="AG564" s="30" t="n">
        <v>0</v>
      </c>
      <c r="AH564" s="30" t="n">
        <v>2</v>
      </c>
      <c r="AI564" s="30" t="n">
        <v>0</v>
      </c>
      <c r="AJ564" s="30" t="n">
        <v>2</v>
      </c>
      <c r="AK564" s="30" t="n">
        <v>0</v>
      </c>
      <c r="AL564" s="26"/>
    </row>
    <row collapsed="false" customFormat="false" customHeight="false" hidden="false" ht="14.5" outlineLevel="0" r="565">
      <c r="A565" s="30" t="n">
        <v>558</v>
      </c>
      <c r="B565" s="30" t="s">
        <v>45</v>
      </c>
      <c r="C565" s="30" t="s">
        <v>59</v>
      </c>
      <c r="D565" s="30" t="s">
        <v>754</v>
      </c>
      <c r="E565" s="30" t="s">
        <v>769</v>
      </c>
      <c r="F565" s="30"/>
      <c r="G565" s="30"/>
      <c r="H565" s="30" t="s">
        <v>770</v>
      </c>
      <c r="I565" s="30" t="s">
        <v>56</v>
      </c>
      <c r="J565" s="30"/>
      <c r="K565" s="30" t="s">
        <v>101</v>
      </c>
      <c r="L565" s="30" t="s">
        <v>57</v>
      </c>
      <c r="M565" s="30" t="n">
        <v>1978</v>
      </c>
      <c r="N565" s="30" t="s">
        <v>58</v>
      </c>
      <c r="O565" s="30" t="s">
        <v>771</v>
      </c>
      <c r="P565" s="30" t="n">
        <v>0</v>
      </c>
      <c r="Q565" s="30" t="n">
        <v>5</v>
      </c>
      <c r="R565" s="30" t="n">
        <v>122</v>
      </c>
      <c r="S565" s="30" t="n">
        <v>6422</v>
      </c>
      <c r="T565" s="30" t="n">
        <v>6422</v>
      </c>
      <c r="U565" s="30" t="n">
        <v>6422</v>
      </c>
      <c r="V565" s="30"/>
      <c r="W565" s="30" t="s">
        <v>53</v>
      </c>
      <c r="X565" s="30" t="s">
        <v>53</v>
      </c>
      <c r="Y565" s="30" t="s">
        <v>53</v>
      </c>
      <c r="Z565" s="30" t="s">
        <v>53</v>
      </c>
      <c r="AA565" s="30" t="s">
        <v>53</v>
      </c>
      <c r="AB565" s="30" t="s">
        <v>53</v>
      </c>
      <c r="AC565" s="30" t="s">
        <v>54</v>
      </c>
      <c r="AD565" s="30" t="s">
        <v>53</v>
      </c>
      <c r="AE565" s="30" t="s">
        <v>54</v>
      </c>
      <c r="AF565" s="30" t="n">
        <v>2</v>
      </c>
      <c r="AG565" s="30" t="n">
        <v>0</v>
      </c>
      <c r="AH565" s="30" t="n">
        <v>1</v>
      </c>
      <c r="AI565" s="30" t="n">
        <v>0</v>
      </c>
      <c r="AJ565" s="30" t="n">
        <v>2</v>
      </c>
      <c r="AK565" s="30" t="n">
        <v>0</v>
      </c>
      <c r="AL565" s="26"/>
    </row>
    <row collapsed="false" customFormat="false" customHeight="false" hidden="false" ht="14.5" outlineLevel="0" r="566">
      <c r="A566" s="30" t="n">
        <v>559</v>
      </c>
      <c r="B566" s="30" t="s">
        <v>45</v>
      </c>
      <c r="C566" s="30" t="s">
        <v>59</v>
      </c>
      <c r="D566" s="30" t="s">
        <v>754</v>
      </c>
      <c r="E566" s="30" t="n">
        <v>7</v>
      </c>
      <c r="F566" s="30" t="n">
        <v>1</v>
      </c>
      <c r="G566" s="30"/>
      <c r="H566" s="30" t="s">
        <v>772</v>
      </c>
      <c r="I566" s="30" t="s">
        <v>56</v>
      </c>
      <c r="J566" s="30"/>
      <c r="K566" s="30" t="s">
        <v>138</v>
      </c>
      <c r="L566" s="30" t="s">
        <v>57</v>
      </c>
      <c r="M566" s="30" t="n">
        <v>1988</v>
      </c>
      <c r="N566" s="30" t="s">
        <v>108</v>
      </c>
      <c r="O566" s="30" t="s">
        <v>773</v>
      </c>
      <c r="P566" s="30" t="n">
        <v>0</v>
      </c>
      <c r="Q566" s="30" t="n">
        <v>4</v>
      </c>
      <c r="R566" s="30" t="n">
        <v>118</v>
      </c>
      <c r="S566" s="30" t="n">
        <v>6747</v>
      </c>
      <c r="T566" s="30" t="n">
        <v>6747</v>
      </c>
      <c r="U566" s="30" t="n">
        <v>6747</v>
      </c>
      <c r="V566" s="30"/>
      <c r="W566" s="30" t="s">
        <v>53</v>
      </c>
      <c r="X566" s="30" t="s">
        <v>53</v>
      </c>
      <c r="Y566" s="30" t="s">
        <v>53</v>
      </c>
      <c r="Z566" s="30" t="s">
        <v>53</v>
      </c>
      <c r="AA566" s="30" t="s">
        <v>53</v>
      </c>
      <c r="AB566" s="30" t="s">
        <v>53</v>
      </c>
      <c r="AC566" s="30" t="s">
        <v>54</v>
      </c>
      <c r="AD566" s="30" t="s">
        <v>53</v>
      </c>
      <c r="AE566" s="30" t="s">
        <v>54</v>
      </c>
      <c r="AF566" s="30" t="n">
        <v>4</v>
      </c>
      <c r="AG566" s="30" t="n">
        <v>0</v>
      </c>
      <c r="AH566" s="30" t="n">
        <v>2</v>
      </c>
      <c r="AI566" s="30" t="n">
        <v>0</v>
      </c>
      <c r="AJ566" s="30" t="n">
        <v>1</v>
      </c>
      <c r="AK566" s="30" t="n">
        <v>0</v>
      </c>
      <c r="AL566" s="26"/>
    </row>
    <row collapsed="false" customFormat="false" customHeight="false" hidden="false" ht="14.5" outlineLevel="0" r="567">
      <c r="A567" s="30" t="n">
        <v>560</v>
      </c>
      <c r="B567" s="30" t="s">
        <v>45</v>
      </c>
      <c r="C567" s="30" t="s">
        <v>59</v>
      </c>
      <c r="D567" s="30" t="s">
        <v>754</v>
      </c>
      <c r="E567" s="30" t="n">
        <v>8</v>
      </c>
      <c r="F567" s="30" t="n">
        <v>1</v>
      </c>
      <c r="G567" s="30"/>
      <c r="H567" s="30" t="s">
        <v>774</v>
      </c>
      <c r="I567" s="30" t="s">
        <v>56</v>
      </c>
      <c r="J567" s="30"/>
      <c r="K567" s="30" t="s">
        <v>101</v>
      </c>
      <c r="L567" s="30" t="s">
        <v>57</v>
      </c>
      <c r="M567" s="30" t="n">
        <v>1981</v>
      </c>
      <c r="N567" s="30" t="s">
        <v>58</v>
      </c>
      <c r="O567" s="30" t="s">
        <v>775</v>
      </c>
      <c r="P567" s="30" t="n">
        <v>0</v>
      </c>
      <c r="Q567" s="30" t="n">
        <v>8</v>
      </c>
      <c r="R567" s="30" t="n">
        <v>178</v>
      </c>
      <c r="S567" s="30" t="n">
        <v>9298.3</v>
      </c>
      <c r="T567" s="30" t="n">
        <v>9298.3</v>
      </c>
      <c r="U567" s="30" t="n">
        <v>9271</v>
      </c>
      <c r="V567" s="30"/>
      <c r="W567" s="30" t="s">
        <v>53</v>
      </c>
      <c r="X567" s="30" t="s">
        <v>53</v>
      </c>
      <c r="Y567" s="30" t="s">
        <v>53</v>
      </c>
      <c r="Z567" s="30" t="s">
        <v>53</v>
      </c>
      <c r="AA567" s="30" t="s">
        <v>53</v>
      </c>
      <c r="AB567" s="30" t="s">
        <v>53</v>
      </c>
      <c r="AC567" s="30" t="s">
        <v>54</v>
      </c>
      <c r="AD567" s="30" t="s">
        <v>53</v>
      </c>
      <c r="AE567" s="30" t="s">
        <v>54</v>
      </c>
      <c r="AF567" s="30" t="n">
        <v>3</v>
      </c>
      <c r="AG567" s="30" t="n">
        <v>0</v>
      </c>
      <c r="AH567" s="30" t="n">
        <v>2</v>
      </c>
      <c r="AI567" s="30" t="n">
        <v>0</v>
      </c>
      <c r="AJ567" s="30" t="n">
        <v>3</v>
      </c>
      <c r="AK567" s="30" t="n">
        <v>0</v>
      </c>
      <c r="AL567" s="26"/>
    </row>
    <row collapsed="false" customFormat="false" customHeight="false" hidden="false" ht="14.5" outlineLevel="0" r="568">
      <c r="A568" s="30" t="n">
        <v>561</v>
      </c>
      <c r="B568" s="30" t="s">
        <v>45</v>
      </c>
      <c r="C568" s="30" t="s">
        <v>59</v>
      </c>
      <c r="D568" s="30" t="s">
        <v>754</v>
      </c>
      <c r="E568" s="30" t="n">
        <v>8</v>
      </c>
      <c r="F568" s="30" t="n">
        <v>2</v>
      </c>
      <c r="G568" s="30"/>
      <c r="H568" s="30" t="s">
        <v>776</v>
      </c>
      <c r="I568" s="30" t="s">
        <v>56</v>
      </c>
      <c r="J568" s="30"/>
      <c r="K568" s="30" t="s">
        <v>101</v>
      </c>
      <c r="L568" s="30" t="s">
        <v>57</v>
      </c>
      <c r="M568" s="30" t="n">
        <v>1981</v>
      </c>
      <c r="N568" s="30" t="s">
        <v>58</v>
      </c>
      <c r="O568" s="30" t="n">
        <v>9</v>
      </c>
      <c r="P568" s="30" t="n">
        <v>0</v>
      </c>
      <c r="Q568" s="30" t="n">
        <v>2</v>
      </c>
      <c r="R568" s="30" t="n">
        <v>71</v>
      </c>
      <c r="S568" s="30" t="n">
        <v>3270</v>
      </c>
      <c r="T568" s="30" t="n">
        <v>3270</v>
      </c>
      <c r="U568" s="30" t="n">
        <v>3270</v>
      </c>
      <c r="V568" s="30"/>
      <c r="W568" s="30" t="s">
        <v>53</v>
      </c>
      <c r="X568" s="30" t="s">
        <v>53</v>
      </c>
      <c r="Y568" s="30" t="s">
        <v>53</v>
      </c>
      <c r="Z568" s="30" t="s">
        <v>53</v>
      </c>
      <c r="AA568" s="30" t="s">
        <v>53</v>
      </c>
      <c r="AB568" s="30" t="s">
        <v>53</v>
      </c>
      <c r="AC568" s="30" t="s">
        <v>54</v>
      </c>
      <c r="AD568" s="30" t="s">
        <v>53</v>
      </c>
      <c r="AE568" s="30" t="s">
        <v>54</v>
      </c>
      <c r="AF568" s="30" t="n">
        <v>2</v>
      </c>
      <c r="AG568" s="30" t="n">
        <v>0</v>
      </c>
      <c r="AH568" s="30" t="n">
        <v>1</v>
      </c>
      <c r="AI568" s="30" t="n">
        <v>0</v>
      </c>
      <c r="AJ568" s="30" t="n">
        <v>1</v>
      </c>
      <c r="AK568" s="30" t="n">
        <v>0</v>
      </c>
      <c r="AL568" s="26"/>
    </row>
    <row collapsed="false" customFormat="false" customHeight="false" hidden="false" ht="14.5" outlineLevel="0" r="569">
      <c r="A569" s="30" t="n">
        <v>562</v>
      </c>
      <c r="B569" s="30" t="s">
        <v>45</v>
      </c>
      <c r="C569" s="30" t="s">
        <v>59</v>
      </c>
      <c r="D569" s="30" t="s">
        <v>754</v>
      </c>
      <c r="E569" s="30" t="n">
        <v>10</v>
      </c>
      <c r="F569" s="30" t="n">
        <v>1</v>
      </c>
      <c r="G569" s="30"/>
      <c r="H569" s="30" t="s">
        <v>777</v>
      </c>
      <c r="I569" s="30" t="s">
        <v>56</v>
      </c>
      <c r="J569" s="30"/>
      <c r="K569" s="30" t="s">
        <v>101</v>
      </c>
      <c r="L569" s="30" t="s">
        <v>57</v>
      </c>
      <c r="M569" s="30" t="n">
        <v>1982</v>
      </c>
      <c r="N569" s="30" t="s">
        <v>58</v>
      </c>
      <c r="O569" s="30" t="n">
        <v>7</v>
      </c>
      <c r="P569" s="30" t="n">
        <v>0</v>
      </c>
      <c r="Q569" s="30" t="n">
        <v>2</v>
      </c>
      <c r="R569" s="30" t="n">
        <v>61</v>
      </c>
      <c r="S569" s="30" t="n">
        <v>3018.1</v>
      </c>
      <c r="T569" s="30" t="n">
        <v>3018.1</v>
      </c>
      <c r="U569" s="30" t="n">
        <v>2988</v>
      </c>
      <c r="V569" s="30"/>
      <c r="W569" s="30" t="s">
        <v>53</v>
      </c>
      <c r="X569" s="30" t="s">
        <v>53</v>
      </c>
      <c r="Y569" s="30" t="s">
        <v>53</v>
      </c>
      <c r="Z569" s="30" t="s">
        <v>53</v>
      </c>
      <c r="AA569" s="30" t="s">
        <v>53</v>
      </c>
      <c r="AB569" s="30" t="s">
        <v>53</v>
      </c>
      <c r="AC569" s="30" t="s">
        <v>54</v>
      </c>
      <c r="AD569" s="30" t="s">
        <v>53</v>
      </c>
      <c r="AE569" s="30" t="s">
        <v>54</v>
      </c>
      <c r="AF569" s="30" t="n">
        <v>2</v>
      </c>
      <c r="AG569" s="30" t="n">
        <v>0</v>
      </c>
      <c r="AH569" s="30" t="n">
        <v>1</v>
      </c>
      <c r="AI569" s="30" t="n">
        <v>0</v>
      </c>
      <c r="AJ569" s="30" t="n">
        <v>1</v>
      </c>
      <c r="AK569" s="30" t="n">
        <v>0</v>
      </c>
      <c r="AL569" s="26"/>
    </row>
    <row collapsed="false" customFormat="false" customHeight="false" hidden="false" ht="14.5" outlineLevel="0" r="570">
      <c r="A570" s="30" t="n">
        <v>563</v>
      </c>
      <c r="B570" s="30" t="s">
        <v>45</v>
      </c>
      <c r="C570" s="30" t="s">
        <v>59</v>
      </c>
      <c r="D570" s="30" t="s">
        <v>754</v>
      </c>
      <c r="E570" s="30" t="n">
        <v>10</v>
      </c>
      <c r="F570" s="30" t="n">
        <v>2</v>
      </c>
      <c r="G570" s="30"/>
      <c r="H570" s="30" t="s">
        <v>778</v>
      </c>
      <c r="I570" s="30" t="s">
        <v>56</v>
      </c>
      <c r="J570" s="30"/>
      <c r="K570" s="30" t="s">
        <v>101</v>
      </c>
      <c r="L570" s="30" t="s">
        <v>57</v>
      </c>
      <c r="M570" s="30" t="n">
        <v>1982</v>
      </c>
      <c r="N570" s="30" t="s">
        <v>58</v>
      </c>
      <c r="O570" s="30" t="n">
        <v>9</v>
      </c>
      <c r="P570" s="30" t="n">
        <v>0</v>
      </c>
      <c r="Q570" s="30" t="n">
        <v>2</v>
      </c>
      <c r="R570" s="30" t="n">
        <v>72</v>
      </c>
      <c r="S570" s="30" t="n">
        <v>3325</v>
      </c>
      <c r="T570" s="30" t="n">
        <v>3325</v>
      </c>
      <c r="U570" s="30" t="n">
        <v>3325</v>
      </c>
      <c r="V570" s="30"/>
      <c r="W570" s="30" t="s">
        <v>53</v>
      </c>
      <c r="X570" s="30" t="s">
        <v>53</v>
      </c>
      <c r="Y570" s="30" t="s">
        <v>53</v>
      </c>
      <c r="Z570" s="30" t="s">
        <v>53</v>
      </c>
      <c r="AA570" s="30" t="s">
        <v>53</v>
      </c>
      <c r="AB570" s="30" t="s">
        <v>53</v>
      </c>
      <c r="AC570" s="30" t="s">
        <v>54</v>
      </c>
      <c r="AD570" s="30" t="s">
        <v>53</v>
      </c>
      <c r="AE570" s="30" t="s">
        <v>54</v>
      </c>
      <c r="AF570" s="30" t="n">
        <v>2</v>
      </c>
      <c r="AG570" s="30" t="n">
        <v>0</v>
      </c>
      <c r="AH570" s="30" t="n">
        <v>1</v>
      </c>
      <c r="AI570" s="30" t="n">
        <v>0</v>
      </c>
      <c r="AJ570" s="30" t="n">
        <v>1</v>
      </c>
      <c r="AK570" s="30" t="n">
        <v>0</v>
      </c>
      <c r="AL570" s="26"/>
    </row>
    <row collapsed="false" customFormat="false" customHeight="false" hidden="false" ht="14.5" outlineLevel="0" r="571">
      <c r="A571" s="30" t="n">
        <v>564</v>
      </c>
      <c r="B571" s="30" t="s">
        <v>45</v>
      </c>
      <c r="C571" s="30" t="s">
        <v>59</v>
      </c>
      <c r="D571" s="30" t="s">
        <v>754</v>
      </c>
      <c r="E571" s="30" t="n">
        <v>10</v>
      </c>
      <c r="F571" s="30" t="n">
        <v>3</v>
      </c>
      <c r="G571" s="30"/>
      <c r="H571" s="30" t="s">
        <v>779</v>
      </c>
      <c r="I571" s="30" t="s">
        <v>56</v>
      </c>
      <c r="J571" s="30"/>
      <c r="K571" s="30" t="s">
        <v>101</v>
      </c>
      <c r="L571" s="30" t="s">
        <v>57</v>
      </c>
      <c r="M571" s="30" t="n">
        <v>1982</v>
      </c>
      <c r="N571" s="30" t="s">
        <v>58</v>
      </c>
      <c r="O571" s="30" t="s">
        <v>780</v>
      </c>
      <c r="P571" s="30" t="n">
        <v>0</v>
      </c>
      <c r="Q571" s="30" t="n">
        <v>3</v>
      </c>
      <c r="R571" s="30" t="n">
        <v>65</v>
      </c>
      <c r="S571" s="30" t="n">
        <v>3150</v>
      </c>
      <c r="T571" s="30" t="n">
        <v>3150</v>
      </c>
      <c r="U571" s="30" t="n">
        <v>3150</v>
      </c>
      <c r="V571" s="30"/>
      <c r="W571" s="30" t="s">
        <v>53</v>
      </c>
      <c r="X571" s="30" t="s">
        <v>53</v>
      </c>
      <c r="Y571" s="30" t="s">
        <v>53</v>
      </c>
      <c r="Z571" s="30" t="s">
        <v>53</v>
      </c>
      <c r="AA571" s="30" t="s">
        <v>53</v>
      </c>
      <c r="AB571" s="30" t="s">
        <v>53</v>
      </c>
      <c r="AC571" s="30" t="s">
        <v>54</v>
      </c>
      <c r="AD571" s="30" t="s">
        <v>53</v>
      </c>
      <c r="AE571" s="30" t="s">
        <v>54</v>
      </c>
      <c r="AF571" s="30" t="n">
        <v>1</v>
      </c>
      <c r="AG571" s="30" t="n">
        <v>0</v>
      </c>
      <c r="AH571" s="30" t="n">
        <v>1</v>
      </c>
      <c r="AI571" s="30" t="n">
        <v>0</v>
      </c>
      <c r="AJ571" s="30" t="n">
        <v>2</v>
      </c>
      <c r="AK571" s="30" t="n">
        <v>0</v>
      </c>
      <c r="AL571" s="26"/>
    </row>
    <row collapsed="false" customFormat="false" customHeight="false" hidden="false" ht="14.5" outlineLevel="0" r="572">
      <c r="A572" s="30" t="n">
        <v>565</v>
      </c>
      <c r="B572" s="30" t="s">
        <v>45</v>
      </c>
      <c r="C572" s="30" t="s">
        <v>59</v>
      </c>
      <c r="D572" s="30" t="s">
        <v>754</v>
      </c>
      <c r="E572" s="30" t="n">
        <v>11</v>
      </c>
      <c r="F572" s="30"/>
      <c r="G572" s="30"/>
      <c r="H572" s="30" t="s">
        <v>781</v>
      </c>
      <c r="I572" s="30" t="s">
        <v>56</v>
      </c>
      <c r="J572" s="30"/>
      <c r="K572" s="30" t="s">
        <v>138</v>
      </c>
      <c r="L572" s="30" t="s">
        <v>57</v>
      </c>
      <c r="M572" s="30" t="n">
        <v>1988</v>
      </c>
      <c r="N572" s="30" t="s">
        <v>108</v>
      </c>
      <c r="O572" s="30" t="s">
        <v>782</v>
      </c>
      <c r="P572" s="30" t="n">
        <v>0</v>
      </c>
      <c r="Q572" s="30" t="n">
        <v>10</v>
      </c>
      <c r="R572" s="30" t="n">
        <v>298</v>
      </c>
      <c r="S572" s="30" t="n">
        <v>16945</v>
      </c>
      <c r="T572" s="30" t="n">
        <v>16945</v>
      </c>
      <c r="U572" s="30" t="n">
        <v>16945</v>
      </c>
      <c r="V572" s="30"/>
      <c r="W572" s="30" t="s">
        <v>53</v>
      </c>
      <c r="X572" s="30" t="s">
        <v>53</v>
      </c>
      <c r="Y572" s="30" t="s">
        <v>53</v>
      </c>
      <c r="Z572" s="30" t="s">
        <v>53</v>
      </c>
      <c r="AA572" s="30" t="s">
        <v>53</v>
      </c>
      <c r="AB572" s="30" t="s">
        <v>53</v>
      </c>
      <c r="AC572" s="30" t="s">
        <v>54</v>
      </c>
      <c r="AD572" s="30" t="s">
        <v>53</v>
      </c>
      <c r="AE572" s="30" t="s">
        <v>54</v>
      </c>
      <c r="AF572" s="30" t="n">
        <v>10</v>
      </c>
      <c r="AG572" s="30" t="n">
        <v>0</v>
      </c>
      <c r="AH572" s="30" t="n">
        <v>3</v>
      </c>
      <c r="AI572" s="30" t="n">
        <v>0</v>
      </c>
      <c r="AJ572" s="30" t="n">
        <v>3</v>
      </c>
      <c r="AK572" s="30" t="n">
        <v>0</v>
      </c>
      <c r="AL572" s="26"/>
    </row>
    <row collapsed="false" customFormat="false" customHeight="false" hidden="false" ht="14.5" outlineLevel="0" r="573">
      <c r="A573" s="30" t="n">
        <v>566</v>
      </c>
      <c r="B573" s="30" t="s">
        <v>45</v>
      </c>
      <c r="C573" s="30" t="s">
        <v>59</v>
      </c>
      <c r="D573" s="30" t="s">
        <v>754</v>
      </c>
      <c r="E573" s="30" t="n">
        <v>12</v>
      </c>
      <c r="F573" s="30" t="n">
        <v>1</v>
      </c>
      <c r="G573" s="30"/>
      <c r="H573" s="30" t="s">
        <v>783</v>
      </c>
      <c r="I573" s="30" t="s">
        <v>56</v>
      </c>
      <c r="J573" s="30"/>
      <c r="K573" s="30" t="s">
        <v>101</v>
      </c>
      <c r="L573" s="30" t="s">
        <v>57</v>
      </c>
      <c r="M573" s="30" t="n">
        <v>1982</v>
      </c>
      <c r="N573" s="30" t="s">
        <v>58</v>
      </c>
      <c r="O573" s="30" t="s">
        <v>780</v>
      </c>
      <c r="P573" s="30" t="n">
        <v>0</v>
      </c>
      <c r="Q573" s="30" t="n">
        <v>3</v>
      </c>
      <c r="R573" s="30" t="n">
        <v>65</v>
      </c>
      <c r="S573" s="30" t="n">
        <v>3302</v>
      </c>
      <c r="T573" s="30" t="n">
        <v>3302</v>
      </c>
      <c r="U573" s="30" t="n">
        <v>3302</v>
      </c>
      <c r="V573" s="30"/>
      <c r="W573" s="30" t="s">
        <v>53</v>
      </c>
      <c r="X573" s="30" t="s">
        <v>53</v>
      </c>
      <c r="Y573" s="30" t="s">
        <v>53</v>
      </c>
      <c r="Z573" s="30" t="s">
        <v>53</v>
      </c>
      <c r="AA573" s="30" t="s">
        <v>53</v>
      </c>
      <c r="AB573" s="30" t="s">
        <v>53</v>
      </c>
      <c r="AC573" s="30" t="s">
        <v>54</v>
      </c>
      <c r="AD573" s="30" t="s">
        <v>53</v>
      </c>
      <c r="AE573" s="30" t="s">
        <v>54</v>
      </c>
      <c r="AF573" s="30" t="n">
        <v>1</v>
      </c>
      <c r="AG573" s="30" t="n">
        <v>0</v>
      </c>
      <c r="AH573" s="30" t="n">
        <v>1</v>
      </c>
      <c r="AI573" s="30" t="n">
        <v>0</v>
      </c>
      <c r="AJ573" s="30" t="n">
        <v>2</v>
      </c>
      <c r="AK573" s="30" t="n">
        <v>0</v>
      </c>
      <c r="AL573" s="26"/>
    </row>
    <row collapsed="false" customFormat="false" customHeight="false" hidden="false" ht="14.5" outlineLevel="0" r="574">
      <c r="A574" s="30" t="n">
        <v>567</v>
      </c>
      <c r="B574" s="30" t="s">
        <v>45</v>
      </c>
      <c r="C574" s="30" t="s">
        <v>59</v>
      </c>
      <c r="D574" s="30" t="s">
        <v>754</v>
      </c>
      <c r="E574" s="30" t="n">
        <v>12</v>
      </c>
      <c r="F574" s="30" t="n">
        <v>2</v>
      </c>
      <c r="G574" s="30"/>
      <c r="H574" s="30" t="s">
        <v>784</v>
      </c>
      <c r="I574" s="30" t="s">
        <v>56</v>
      </c>
      <c r="J574" s="30"/>
      <c r="K574" s="30"/>
      <c r="L574" s="30"/>
      <c r="M574" s="30"/>
      <c r="N574" s="30"/>
      <c r="O574" s="30"/>
      <c r="P574" s="30" t="n">
        <v>0</v>
      </c>
      <c r="Q574" s="30"/>
      <c r="R574" s="30"/>
      <c r="S574" s="30"/>
      <c r="T574" s="30"/>
      <c r="U574" s="30" t="n">
        <v>266</v>
      </c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 t="n">
        <v>0</v>
      </c>
      <c r="AH574" s="30"/>
      <c r="AI574" s="30" t="n">
        <v>0</v>
      </c>
      <c r="AJ574" s="30"/>
      <c r="AK574" s="30" t="n">
        <v>0</v>
      </c>
      <c r="AL574" s="26"/>
    </row>
    <row collapsed="false" customFormat="false" customHeight="false" hidden="false" ht="14.5" outlineLevel="0" r="575">
      <c r="A575" s="30" t="n">
        <v>568</v>
      </c>
      <c r="B575" s="30" t="s">
        <v>45</v>
      </c>
      <c r="C575" s="30" t="s">
        <v>59</v>
      </c>
      <c r="D575" s="30" t="s">
        <v>754</v>
      </c>
      <c r="E575" s="30" t="n">
        <v>14</v>
      </c>
      <c r="F575" s="30" t="n">
        <v>1</v>
      </c>
      <c r="G575" s="30"/>
      <c r="H575" s="30" t="s">
        <v>785</v>
      </c>
      <c r="I575" s="30" t="s">
        <v>56</v>
      </c>
      <c r="J575" s="30"/>
      <c r="K575" s="30" t="s">
        <v>101</v>
      </c>
      <c r="L575" s="30" t="s">
        <v>65</v>
      </c>
      <c r="M575" s="30" t="n">
        <v>1987</v>
      </c>
      <c r="N575" s="30" t="s">
        <v>58</v>
      </c>
      <c r="O575" s="30" t="s">
        <v>786</v>
      </c>
      <c r="P575" s="30" t="n">
        <v>0</v>
      </c>
      <c r="Q575" s="30" t="n">
        <v>6</v>
      </c>
      <c r="R575" s="30" t="n">
        <v>156</v>
      </c>
      <c r="S575" s="30" t="n">
        <v>9390.6</v>
      </c>
      <c r="T575" s="30" t="n">
        <v>9390.6</v>
      </c>
      <c r="U575" s="30" t="n">
        <v>7851</v>
      </c>
      <c r="V575" s="30" t="n">
        <v>1539.6</v>
      </c>
      <c r="W575" s="30" t="s">
        <v>53</v>
      </c>
      <c r="X575" s="30" t="s">
        <v>53</v>
      </c>
      <c r="Y575" s="30" t="s">
        <v>53</v>
      </c>
      <c r="Z575" s="30" t="s">
        <v>53</v>
      </c>
      <c r="AA575" s="30" t="s">
        <v>53</v>
      </c>
      <c r="AB575" s="30" t="s">
        <v>53</v>
      </c>
      <c r="AC575" s="30" t="s">
        <v>54</v>
      </c>
      <c r="AD575" s="30" t="s">
        <v>53</v>
      </c>
      <c r="AE575" s="30" t="s">
        <v>54</v>
      </c>
      <c r="AF575" s="30" t="n">
        <v>5</v>
      </c>
      <c r="AG575" s="30" t="n">
        <v>0</v>
      </c>
      <c r="AH575" s="30" t="n">
        <v>1</v>
      </c>
      <c r="AI575" s="30" t="n">
        <v>0</v>
      </c>
      <c r="AJ575" s="30" t="n">
        <v>1</v>
      </c>
      <c r="AK575" s="30" t="n">
        <v>0</v>
      </c>
      <c r="AL575" s="26"/>
    </row>
    <row collapsed="false" customFormat="false" customHeight="false" hidden="false" ht="14.5" outlineLevel="0" r="576">
      <c r="A576" s="30" t="n">
        <v>569</v>
      </c>
      <c r="B576" s="30" t="s">
        <v>45</v>
      </c>
      <c r="C576" s="30" t="s">
        <v>59</v>
      </c>
      <c r="D576" s="30" t="s">
        <v>754</v>
      </c>
      <c r="E576" s="30" t="n">
        <v>14</v>
      </c>
      <c r="F576" s="30" t="n">
        <v>2</v>
      </c>
      <c r="G576" s="30"/>
      <c r="H576" s="30" t="s">
        <v>787</v>
      </c>
      <c r="I576" s="30" t="s">
        <v>56</v>
      </c>
      <c r="J576" s="30"/>
      <c r="K576" s="30" t="s">
        <v>101</v>
      </c>
      <c r="L576" s="30" t="s">
        <v>57</v>
      </c>
      <c r="M576" s="30" t="n">
        <v>1988</v>
      </c>
      <c r="N576" s="30" t="s">
        <v>58</v>
      </c>
      <c r="O576" s="30" t="s">
        <v>788</v>
      </c>
      <c r="P576" s="30" t="n">
        <v>0</v>
      </c>
      <c r="Q576" s="30" t="n">
        <v>5</v>
      </c>
      <c r="R576" s="30" t="n">
        <v>121</v>
      </c>
      <c r="S576" s="30" t="n">
        <v>8307.4</v>
      </c>
      <c r="T576" s="30" t="n">
        <v>8307.4</v>
      </c>
      <c r="U576" s="30" t="n">
        <v>6554</v>
      </c>
      <c r="V576" s="30" t="n">
        <v>1753.4</v>
      </c>
      <c r="W576" s="30" t="s">
        <v>53</v>
      </c>
      <c r="X576" s="30" t="s">
        <v>53</v>
      </c>
      <c r="Y576" s="30" t="s">
        <v>53</v>
      </c>
      <c r="Z576" s="30" t="s">
        <v>53</v>
      </c>
      <c r="AA576" s="30" t="s">
        <v>53</v>
      </c>
      <c r="AB576" s="30" t="s">
        <v>53</v>
      </c>
      <c r="AC576" s="30" t="s">
        <v>54</v>
      </c>
      <c r="AD576" s="30" t="s">
        <v>53</v>
      </c>
      <c r="AE576" s="30" t="s">
        <v>54</v>
      </c>
      <c r="AF576" s="30" t="n">
        <v>5</v>
      </c>
      <c r="AG576" s="30" t="n">
        <v>0</v>
      </c>
      <c r="AH576" s="30" t="n">
        <v>1</v>
      </c>
      <c r="AI576" s="30" t="n">
        <v>0</v>
      </c>
      <c r="AJ576" s="30" t="n">
        <v>2</v>
      </c>
      <c r="AK576" s="30" t="n">
        <v>0</v>
      </c>
      <c r="AL576" s="26"/>
    </row>
    <row collapsed="false" customFormat="false" customHeight="false" hidden="false" ht="14.5" outlineLevel="0" r="577">
      <c r="A577" s="30" t="n">
        <v>570</v>
      </c>
      <c r="B577" s="30" t="s">
        <v>45</v>
      </c>
      <c r="C577" s="30" t="s">
        <v>59</v>
      </c>
      <c r="D577" s="30" t="s">
        <v>789</v>
      </c>
      <c r="E577" s="30" t="n">
        <v>3</v>
      </c>
      <c r="F577" s="30" t="n">
        <v>1</v>
      </c>
      <c r="G577" s="30"/>
      <c r="H577" s="30" t="s">
        <v>790</v>
      </c>
      <c r="I577" s="30" t="s">
        <v>56</v>
      </c>
      <c r="J577" s="30"/>
      <c r="K577" s="30" t="s">
        <v>101</v>
      </c>
      <c r="L577" s="30" t="s">
        <v>57</v>
      </c>
      <c r="M577" s="30" t="n">
        <v>1976</v>
      </c>
      <c r="N577" s="30" t="s">
        <v>58</v>
      </c>
      <c r="O577" s="30" t="n">
        <v>5</v>
      </c>
      <c r="P577" s="30" t="n">
        <v>0</v>
      </c>
      <c r="Q577" s="30" t="n">
        <v>2</v>
      </c>
      <c r="R577" s="30" t="n">
        <v>38</v>
      </c>
      <c r="S577" s="30" t="n">
        <v>1861</v>
      </c>
      <c r="T577" s="30" t="n">
        <v>1861</v>
      </c>
      <c r="U577" s="30" t="n">
        <v>1861</v>
      </c>
      <c r="V577" s="30"/>
      <c r="W577" s="30" t="s">
        <v>53</v>
      </c>
      <c r="X577" s="30" t="s">
        <v>53</v>
      </c>
      <c r="Y577" s="30" t="s">
        <v>53</v>
      </c>
      <c r="Z577" s="30" t="s">
        <v>53</v>
      </c>
      <c r="AA577" s="30" t="s">
        <v>53</v>
      </c>
      <c r="AB577" s="30" t="s">
        <v>53</v>
      </c>
      <c r="AC577" s="30" t="s">
        <v>54</v>
      </c>
      <c r="AD577" s="30" t="s">
        <v>53</v>
      </c>
      <c r="AE577" s="30" t="s">
        <v>54</v>
      </c>
      <c r="AF577" s="30" t="n">
        <v>0</v>
      </c>
      <c r="AG577" s="30" t="n">
        <v>0</v>
      </c>
      <c r="AH577" s="30" t="n">
        <v>1</v>
      </c>
      <c r="AI577" s="30" t="n">
        <v>0</v>
      </c>
      <c r="AJ577" s="30" t="n">
        <v>1</v>
      </c>
      <c r="AK577" s="30" t="n">
        <v>0</v>
      </c>
      <c r="AL577" s="26"/>
    </row>
    <row collapsed="false" customFormat="false" customHeight="false" hidden="false" ht="14.5" outlineLevel="0" r="578">
      <c r="A578" s="30" t="n">
        <v>571</v>
      </c>
      <c r="B578" s="30" t="s">
        <v>45</v>
      </c>
      <c r="C578" s="30" t="s">
        <v>59</v>
      </c>
      <c r="D578" s="30" t="s">
        <v>789</v>
      </c>
      <c r="E578" s="30" t="n">
        <v>3</v>
      </c>
      <c r="F578" s="30" t="n">
        <v>2</v>
      </c>
      <c r="G578" s="30"/>
      <c r="H578" s="30" t="s">
        <v>791</v>
      </c>
      <c r="I578" s="30" t="s">
        <v>56</v>
      </c>
      <c r="J578" s="30"/>
      <c r="K578" s="30" t="s">
        <v>101</v>
      </c>
      <c r="L578" s="30" t="s">
        <v>57</v>
      </c>
      <c r="M578" s="30" t="n">
        <v>1975</v>
      </c>
      <c r="N578" s="30" t="s">
        <v>58</v>
      </c>
      <c r="O578" s="30" t="n">
        <v>7</v>
      </c>
      <c r="P578" s="30" t="n">
        <v>0</v>
      </c>
      <c r="Q578" s="30" t="n">
        <v>2</v>
      </c>
      <c r="R578" s="30" t="n">
        <v>46</v>
      </c>
      <c r="S578" s="30" t="n">
        <v>2428</v>
      </c>
      <c r="T578" s="30" t="n">
        <v>2428</v>
      </c>
      <c r="U578" s="30" t="n">
        <v>2428</v>
      </c>
      <c r="V578" s="30"/>
      <c r="W578" s="30" t="s">
        <v>53</v>
      </c>
      <c r="X578" s="30" t="s">
        <v>53</v>
      </c>
      <c r="Y578" s="30" t="s">
        <v>53</v>
      </c>
      <c r="Z578" s="30" t="s">
        <v>53</v>
      </c>
      <c r="AA578" s="30" t="s">
        <v>53</v>
      </c>
      <c r="AB578" s="30" t="s">
        <v>53</v>
      </c>
      <c r="AC578" s="30" t="s">
        <v>54</v>
      </c>
      <c r="AD578" s="30" t="s">
        <v>53</v>
      </c>
      <c r="AE578" s="30" t="s">
        <v>54</v>
      </c>
      <c r="AF578" s="30" t="n">
        <v>2</v>
      </c>
      <c r="AG578" s="30" t="n">
        <v>0</v>
      </c>
      <c r="AH578" s="30" t="n">
        <v>1</v>
      </c>
      <c r="AI578" s="30" t="n">
        <v>0</v>
      </c>
      <c r="AJ578" s="30" t="n">
        <v>1</v>
      </c>
      <c r="AK578" s="30" t="n">
        <v>0</v>
      </c>
      <c r="AL578" s="26"/>
    </row>
    <row collapsed="false" customFormat="false" customHeight="false" hidden="false" ht="14.5" outlineLevel="0" r="579">
      <c r="A579" s="30" t="n">
        <v>572</v>
      </c>
      <c r="B579" s="30" t="s">
        <v>45</v>
      </c>
      <c r="C579" s="30" t="s">
        <v>59</v>
      </c>
      <c r="D579" s="30" t="s">
        <v>789</v>
      </c>
      <c r="E579" s="30" t="n">
        <v>5</v>
      </c>
      <c r="F579" s="30" t="n">
        <v>1</v>
      </c>
      <c r="G579" s="30"/>
      <c r="H579" s="30" t="s">
        <v>792</v>
      </c>
      <c r="I579" s="30" t="s">
        <v>56</v>
      </c>
      <c r="J579" s="30"/>
      <c r="K579" s="30" t="s">
        <v>101</v>
      </c>
      <c r="L579" s="30" t="s">
        <v>57</v>
      </c>
      <c r="M579" s="30" t="n">
        <v>1976</v>
      </c>
      <c r="N579" s="30" t="s">
        <v>58</v>
      </c>
      <c r="O579" s="30" t="s">
        <v>793</v>
      </c>
      <c r="P579" s="30" t="n">
        <v>0</v>
      </c>
      <c r="Q579" s="30" t="n">
        <v>4</v>
      </c>
      <c r="R579" s="30" t="n">
        <v>100</v>
      </c>
      <c r="S579" s="30" t="n">
        <v>5079</v>
      </c>
      <c r="T579" s="30" t="n">
        <v>5079</v>
      </c>
      <c r="U579" s="30" t="n">
        <v>5079</v>
      </c>
      <c r="V579" s="30"/>
      <c r="W579" s="30" t="s">
        <v>53</v>
      </c>
      <c r="X579" s="30" t="s">
        <v>53</v>
      </c>
      <c r="Y579" s="30" t="s">
        <v>53</v>
      </c>
      <c r="Z579" s="30" t="s">
        <v>53</v>
      </c>
      <c r="AA579" s="30" t="s">
        <v>53</v>
      </c>
      <c r="AB579" s="30" t="s">
        <v>53</v>
      </c>
      <c r="AC579" s="30" t="s">
        <v>54</v>
      </c>
      <c r="AD579" s="30" t="s">
        <v>53</v>
      </c>
      <c r="AE579" s="30" t="s">
        <v>54</v>
      </c>
      <c r="AF579" s="30" t="n">
        <v>3</v>
      </c>
      <c r="AG579" s="30" t="n">
        <v>0</v>
      </c>
      <c r="AH579" s="30" t="n">
        <v>1</v>
      </c>
      <c r="AI579" s="30" t="n">
        <v>0</v>
      </c>
      <c r="AJ579" s="30" t="n">
        <v>1</v>
      </c>
      <c r="AK579" s="30" t="n">
        <v>0</v>
      </c>
      <c r="AL579" s="26"/>
    </row>
    <row collapsed="false" customFormat="false" customHeight="false" hidden="false" ht="14.5" outlineLevel="0" r="580">
      <c r="A580" s="30" t="n">
        <v>573</v>
      </c>
      <c r="B580" s="30" t="s">
        <v>45</v>
      </c>
      <c r="C580" s="30" t="s">
        <v>59</v>
      </c>
      <c r="D580" s="30" t="s">
        <v>789</v>
      </c>
      <c r="E580" s="30" t="n">
        <v>5</v>
      </c>
      <c r="F580" s="30" t="n">
        <v>2</v>
      </c>
      <c r="G580" s="30"/>
      <c r="H580" s="30" t="s">
        <v>794</v>
      </c>
      <c r="I580" s="30" t="s">
        <v>56</v>
      </c>
      <c r="J580" s="30"/>
      <c r="K580" s="30" t="s">
        <v>101</v>
      </c>
      <c r="L580" s="30" t="s">
        <v>57</v>
      </c>
      <c r="M580" s="30" t="n">
        <v>1980</v>
      </c>
      <c r="N580" s="30" t="s">
        <v>58</v>
      </c>
      <c r="O580" s="30" t="s">
        <v>795</v>
      </c>
      <c r="P580" s="30" t="n">
        <v>0</v>
      </c>
      <c r="Q580" s="30" t="n">
        <v>3</v>
      </c>
      <c r="R580" s="30" t="n">
        <v>96</v>
      </c>
      <c r="S580" s="30" t="n">
        <v>4805</v>
      </c>
      <c r="T580" s="30" t="n">
        <v>4805</v>
      </c>
      <c r="U580" s="30" t="n">
        <v>4805</v>
      </c>
      <c r="V580" s="30"/>
      <c r="W580" s="30" t="s">
        <v>53</v>
      </c>
      <c r="X580" s="30" t="s">
        <v>53</v>
      </c>
      <c r="Y580" s="30" t="s">
        <v>53</v>
      </c>
      <c r="Z580" s="30" t="s">
        <v>53</v>
      </c>
      <c r="AA580" s="30" t="s">
        <v>53</v>
      </c>
      <c r="AB580" s="30" t="s">
        <v>53</v>
      </c>
      <c r="AC580" s="30" t="s">
        <v>54</v>
      </c>
      <c r="AD580" s="30" t="s">
        <v>53</v>
      </c>
      <c r="AE580" s="30" t="s">
        <v>54</v>
      </c>
      <c r="AF580" s="30" t="n">
        <v>3</v>
      </c>
      <c r="AG580" s="30" t="n">
        <v>0</v>
      </c>
      <c r="AH580" s="30" t="n">
        <v>1</v>
      </c>
      <c r="AI580" s="30" t="n">
        <v>0</v>
      </c>
      <c r="AJ580" s="30" t="n">
        <v>1</v>
      </c>
      <c r="AK580" s="30" t="n">
        <v>0</v>
      </c>
      <c r="AL580" s="26"/>
    </row>
    <row collapsed="false" customFormat="false" customHeight="false" hidden="false" ht="14.5" outlineLevel="0" r="581">
      <c r="A581" s="30" t="n">
        <v>574</v>
      </c>
      <c r="B581" s="30" t="s">
        <v>45</v>
      </c>
      <c r="C581" s="30" t="s">
        <v>59</v>
      </c>
      <c r="D581" s="30" t="s">
        <v>789</v>
      </c>
      <c r="E581" s="30" t="n">
        <v>7</v>
      </c>
      <c r="F581" s="30" t="n">
        <v>1</v>
      </c>
      <c r="G581" s="30"/>
      <c r="H581" s="30" t="s">
        <v>796</v>
      </c>
      <c r="I581" s="30" t="s">
        <v>56</v>
      </c>
      <c r="J581" s="30"/>
      <c r="K581" s="30" t="s">
        <v>101</v>
      </c>
      <c r="L581" s="30" t="s">
        <v>57</v>
      </c>
      <c r="M581" s="30" t="n">
        <v>1980</v>
      </c>
      <c r="N581" s="30" t="s">
        <v>58</v>
      </c>
      <c r="O581" s="30" t="s">
        <v>174</v>
      </c>
      <c r="P581" s="30" t="n">
        <v>0</v>
      </c>
      <c r="Q581" s="30" t="n">
        <v>4</v>
      </c>
      <c r="R581" s="30" t="n">
        <v>92</v>
      </c>
      <c r="S581" s="30" t="n">
        <v>4564</v>
      </c>
      <c r="T581" s="30" t="n">
        <v>4564</v>
      </c>
      <c r="U581" s="30" t="n">
        <v>4564</v>
      </c>
      <c r="V581" s="30"/>
      <c r="W581" s="30" t="s">
        <v>53</v>
      </c>
      <c r="X581" s="30" t="s">
        <v>53</v>
      </c>
      <c r="Y581" s="30" t="s">
        <v>53</v>
      </c>
      <c r="Z581" s="30" t="s">
        <v>53</v>
      </c>
      <c r="AA581" s="30" t="s">
        <v>53</v>
      </c>
      <c r="AB581" s="30" t="s">
        <v>53</v>
      </c>
      <c r="AC581" s="30" t="s">
        <v>54</v>
      </c>
      <c r="AD581" s="30" t="s">
        <v>53</v>
      </c>
      <c r="AE581" s="30" t="s">
        <v>54</v>
      </c>
      <c r="AF581" s="30" t="n">
        <v>1</v>
      </c>
      <c r="AG581" s="30" t="n">
        <v>0</v>
      </c>
      <c r="AH581" s="30" t="n">
        <v>2</v>
      </c>
      <c r="AI581" s="30" t="n">
        <v>0</v>
      </c>
      <c r="AJ581" s="30" t="n">
        <v>2</v>
      </c>
      <c r="AK581" s="30" t="n">
        <v>0</v>
      </c>
      <c r="AL581" s="26"/>
    </row>
    <row collapsed="false" customFormat="false" customHeight="false" hidden="false" ht="14.5" outlineLevel="0" r="582">
      <c r="A582" s="30" t="n">
        <v>575</v>
      </c>
      <c r="B582" s="30" t="s">
        <v>45</v>
      </c>
      <c r="C582" s="30" t="s">
        <v>59</v>
      </c>
      <c r="D582" s="30" t="s">
        <v>789</v>
      </c>
      <c r="E582" s="30" t="n">
        <v>9</v>
      </c>
      <c r="F582" s="30" t="n">
        <v>1</v>
      </c>
      <c r="G582" s="30"/>
      <c r="H582" s="30" t="s">
        <v>797</v>
      </c>
      <c r="I582" s="30" t="s">
        <v>56</v>
      </c>
      <c r="J582" s="30"/>
      <c r="K582" s="30" t="s">
        <v>101</v>
      </c>
      <c r="L582" s="30" t="s">
        <v>57</v>
      </c>
      <c r="M582" s="30" t="n">
        <v>1981</v>
      </c>
      <c r="N582" s="30" t="s">
        <v>58</v>
      </c>
      <c r="O582" s="30" t="s">
        <v>798</v>
      </c>
      <c r="P582" s="30" t="n">
        <v>0</v>
      </c>
      <c r="Q582" s="30" t="n">
        <v>3</v>
      </c>
      <c r="R582" s="30" t="n">
        <v>74</v>
      </c>
      <c r="S582" s="30" t="n">
        <v>3795</v>
      </c>
      <c r="T582" s="30" t="n">
        <v>3795</v>
      </c>
      <c r="U582" s="30" t="n">
        <v>3795</v>
      </c>
      <c r="V582" s="30"/>
      <c r="W582" s="30" t="s">
        <v>53</v>
      </c>
      <c r="X582" s="30" t="s">
        <v>53</v>
      </c>
      <c r="Y582" s="30" t="s">
        <v>53</v>
      </c>
      <c r="Z582" s="30" t="s">
        <v>53</v>
      </c>
      <c r="AA582" s="30" t="s">
        <v>53</v>
      </c>
      <c r="AB582" s="30" t="s">
        <v>53</v>
      </c>
      <c r="AC582" s="30" t="s">
        <v>54</v>
      </c>
      <c r="AD582" s="30" t="s">
        <v>53</v>
      </c>
      <c r="AE582" s="30" t="s">
        <v>54</v>
      </c>
      <c r="AF582" s="30" t="n">
        <v>2</v>
      </c>
      <c r="AG582" s="30" t="n">
        <v>0</v>
      </c>
      <c r="AH582" s="30" t="n">
        <v>1</v>
      </c>
      <c r="AI582" s="30" t="n">
        <v>0</v>
      </c>
      <c r="AJ582" s="30" t="n">
        <v>2</v>
      </c>
      <c r="AK582" s="30" t="n">
        <v>0</v>
      </c>
      <c r="AL582" s="26"/>
    </row>
    <row collapsed="false" customFormat="false" customHeight="false" hidden="false" ht="14.5" outlineLevel="0" r="583">
      <c r="A583" s="30" t="n">
        <v>576</v>
      </c>
      <c r="B583" s="30" t="s">
        <v>45</v>
      </c>
      <c r="C583" s="30" t="s">
        <v>59</v>
      </c>
      <c r="D583" s="30" t="s">
        <v>789</v>
      </c>
      <c r="E583" s="30" t="n">
        <v>9</v>
      </c>
      <c r="F583" s="30" t="n">
        <v>2</v>
      </c>
      <c r="G583" s="30"/>
      <c r="H583" s="30" t="s">
        <v>799</v>
      </c>
      <c r="I583" s="30" t="s">
        <v>56</v>
      </c>
      <c r="J583" s="30"/>
      <c r="K583" s="30" t="s">
        <v>101</v>
      </c>
      <c r="L583" s="30" t="s">
        <v>57</v>
      </c>
      <c r="M583" s="30" t="n">
        <v>1980</v>
      </c>
      <c r="N583" s="30" t="s">
        <v>58</v>
      </c>
      <c r="O583" s="30" t="n">
        <v>9</v>
      </c>
      <c r="P583" s="30" t="n">
        <v>0</v>
      </c>
      <c r="Q583" s="30" t="n">
        <v>2</v>
      </c>
      <c r="R583" s="30" t="n">
        <v>72</v>
      </c>
      <c r="S583" s="30" t="n">
        <v>3285</v>
      </c>
      <c r="T583" s="30" t="n">
        <v>3285</v>
      </c>
      <c r="U583" s="30" t="n">
        <v>3285</v>
      </c>
      <c r="V583" s="30"/>
      <c r="W583" s="30" t="s">
        <v>53</v>
      </c>
      <c r="X583" s="30" t="s">
        <v>53</v>
      </c>
      <c r="Y583" s="30" t="s">
        <v>53</v>
      </c>
      <c r="Z583" s="30" t="s">
        <v>53</v>
      </c>
      <c r="AA583" s="30" t="s">
        <v>53</v>
      </c>
      <c r="AB583" s="30" t="s">
        <v>53</v>
      </c>
      <c r="AC583" s="30" t="s">
        <v>54</v>
      </c>
      <c r="AD583" s="30" t="s">
        <v>53</v>
      </c>
      <c r="AE583" s="30" t="s">
        <v>54</v>
      </c>
      <c r="AF583" s="30" t="n">
        <v>2</v>
      </c>
      <c r="AG583" s="30" t="n">
        <v>0</v>
      </c>
      <c r="AH583" s="30" t="n">
        <v>1</v>
      </c>
      <c r="AI583" s="30" t="n">
        <v>0</v>
      </c>
      <c r="AJ583" s="30" t="n">
        <v>1</v>
      </c>
      <c r="AK583" s="30" t="n">
        <v>0</v>
      </c>
      <c r="AL583" s="26"/>
    </row>
    <row collapsed="false" customFormat="false" customHeight="false" hidden="false" ht="14.5" outlineLevel="0" r="584">
      <c r="A584" s="30" t="n">
        <v>577</v>
      </c>
      <c r="B584" s="30" t="s">
        <v>45</v>
      </c>
      <c r="C584" s="30" t="s">
        <v>59</v>
      </c>
      <c r="D584" s="30" t="s">
        <v>789</v>
      </c>
      <c r="E584" s="30" t="n">
        <v>11</v>
      </c>
      <c r="F584" s="30" t="n">
        <v>1</v>
      </c>
      <c r="G584" s="30"/>
      <c r="H584" s="30" t="s">
        <v>800</v>
      </c>
      <c r="I584" s="30" t="s">
        <v>56</v>
      </c>
      <c r="J584" s="30"/>
      <c r="K584" s="30" t="s">
        <v>101</v>
      </c>
      <c r="L584" s="30" t="s">
        <v>57</v>
      </c>
      <c r="M584" s="30" t="n">
        <v>1981</v>
      </c>
      <c r="N584" s="30" t="s">
        <v>58</v>
      </c>
      <c r="O584" s="30" t="s">
        <v>798</v>
      </c>
      <c r="P584" s="30" t="n">
        <v>0</v>
      </c>
      <c r="Q584" s="30" t="n">
        <v>3</v>
      </c>
      <c r="R584" s="30" t="n">
        <v>73</v>
      </c>
      <c r="S584" s="30" t="n">
        <v>3610</v>
      </c>
      <c r="T584" s="30" t="n">
        <v>3610</v>
      </c>
      <c r="U584" s="30" t="n">
        <v>3610</v>
      </c>
      <c r="V584" s="30"/>
      <c r="W584" s="30" t="s">
        <v>53</v>
      </c>
      <c r="X584" s="30" t="s">
        <v>53</v>
      </c>
      <c r="Y584" s="30" t="s">
        <v>53</v>
      </c>
      <c r="Z584" s="30" t="s">
        <v>53</v>
      </c>
      <c r="AA584" s="30" t="s">
        <v>53</v>
      </c>
      <c r="AB584" s="30" t="s">
        <v>53</v>
      </c>
      <c r="AC584" s="30" t="s">
        <v>54</v>
      </c>
      <c r="AD584" s="30" t="s">
        <v>53</v>
      </c>
      <c r="AE584" s="30" t="s">
        <v>54</v>
      </c>
      <c r="AF584" s="30" t="n">
        <v>2</v>
      </c>
      <c r="AG584" s="30" t="n">
        <v>0</v>
      </c>
      <c r="AH584" s="30" t="n">
        <v>1</v>
      </c>
      <c r="AI584" s="30" t="n">
        <v>0</v>
      </c>
      <c r="AJ584" s="30" t="n">
        <v>2</v>
      </c>
      <c r="AK584" s="30" t="n">
        <v>0</v>
      </c>
      <c r="AL584" s="26"/>
    </row>
    <row collapsed="false" customFormat="false" customHeight="false" hidden="false" ht="14.5" outlineLevel="0" r="585">
      <c r="A585" s="30" t="n">
        <v>578</v>
      </c>
      <c r="B585" s="30" t="s">
        <v>45</v>
      </c>
      <c r="C585" s="30" t="s">
        <v>59</v>
      </c>
      <c r="D585" s="30" t="s">
        <v>789</v>
      </c>
      <c r="E585" s="30" t="n">
        <v>11</v>
      </c>
      <c r="F585" s="30" t="n">
        <v>2</v>
      </c>
      <c r="G585" s="30"/>
      <c r="H585" s="30" t="s">
        <v>801</v>
      </c>
      <c r="I585" s="30" t="s">
        <v>56</v>
      </c>
      <c r="J585" s="30"/>
      <c r="K585" s="30" t="s">
        <v>101</v>
      </c>
      <c r="L585" s="30" t="s">
        <v>57</v>
      </c>
      <c r="M585" s="30" t="n">
        <v>1980</v>
      </c>
      <c r="N585" s="30" t="s">
        <v>58</v>
      </c>
      <c r="O585" s="30" t="n">
        <v>5</v>
      </c>
      <c r="P585" s="30" t="n">
        <v>0</v>
      </c>
      <c r="Q585" s="30" t="n">
        <v>3</v>
      </c>
      <c r="R585" s="30" t="n">
        <v>58</v>
      </c>
      <c r="S585" s="30" t="n">
        <v>2933</v>
      </c>
      <c r="T585" s="30" t="n">
        <v>2933</v>
      </c>
      <c r="U585" s="30" t="n">
        <v>2933</v>
      </c>
      <c r="V585" s="30"/>
      <c r="W585" s="30" t="s">
        <v>53</v>
      </c>
      <c r="X585" s="30" t="s">
        <v>53</v>
      </c>
      <c r="Y585" s="30" t="s">
        <v>53</v>
      </c>
      <c r="Z585" s="30" t="s">
        <v>53</v>
      </c>
      <c r="AA585" s="30" t="s">
        <v>53</v>
      </c>
      <c r="AB585" s="30" t="s">
        <v>53</v>
      </c>
      <c r="AC585" s="30" t="s">
        <v>54</v>
      </c>
      <c r="AD585" s="30" t="s">
        <v>53</v>
      </c>
      <c r="AE585" s="30" t="s">
        <v>54</v>
      </c>
      <c r="AF585" s="30" t="n">
        <v>0</v>
      </c>
      <c r="AG585" s="30" t="n">
        <v>0</v>
      </c>
      <c r="AH585" s="30" t="n">
        <v>2</v>
      </c>
      <c r="AI585" s="30" t="n">
        <v>0</v>
      </c>
      <c r="AJ585" s="30" t="n">
        <v>3</v>
      </c>
      <c r="AK585" s="30" t="n">
        <v>0</v>
      </c>
      <c r="AL585" s="26"/>
    </row>
    <row collapsed="false" customFormat="false" customHeight="false" hidden="false" ht="14.5" outlineLevel="0" r="586">
      <c r="A586" s="30" t="n">
        <v>579</v>
      </c>
      <c r="B586" s="30" t="s">
        <v>45</v>
      </c>
      <c r="C586" s="30" t="s">
        <v>59</v>
      </c>
      <c r="D586" s="30" t="s">
        <v>789</v>
      </c>
      <c r="E586" s="30" t="n">
        <v>11</v>
      </c>
      <c r="F586" s="30" t="n">
        <v>3</v>
      </c>
      <c r="G586" s="30"/>
      <c r="H586" s="30" t="s">
        <v>802</v>
      </c>
      <c r="I586" s="30" t="s">
        <v>56</v>
      </c>
      <c r="J586" s="30"/>
      <c r="K586" s="30"/>
      <c r="L586" s="30"/>
      <c r="M586" s="30"/>
      <c r="N586" s="30"/>
      <c r="O586" s="30"/>
      <c r="P586" s="30" t="n">
        <v>0</v>
      </c>
      <c r="Q586" s="30"/>
      <c r="R586" s="30"/>
      <c r="S586" s="30"/>
      <c r="T586" s="30"/>
      <c r="U586" s="30" t="n">
        <v>493</v>
      </c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 t="n">
        <v>0</v>
      </c>
      <c r="AL586" s="26"/>
    </row>
    <row collapsed="false" customFormat="false" customHeight="false" hidden="false" ht="14.5" outlineLevel="0" r="587">
      <c r="A587" s="30" t="n">
        <v>580</v>
      </c>
      <c r="B587" s="30" t="s">
        <v>45</v>
      </c>
      <c r="C587" s="30" t="s">
        <v>59</v>
      </c>
      <c r="D587" s="30" t="s">
        <v>789</v>
      </c>
      <c r="E587" s="30" t="n">
        <v>13</v>
      </c>
      <c r="F587" s="30" t="n">
        <v>1</v>
      </c>
      <c r="G587" s="30"/>
      <c r="H587" s="30" t="s">
        <v>803</v>
      </c>
      <c r="I587" s="30" t="s">
        <v>56</v>
      </c>
      <c r="J587" s="30"/>
      <c r="K587" s="30" t="s">
        <v>101</v>
      </c>
      <c r="L587" s="30" t="s">
        <v>57</v>
      </c>
      <c r="M587" s="30" t="n">
        <v>1987</v>
      </c>
      <c r="N587" s="30" t="s">
        <v>58</v>
      </c>
      <c r="O587" s="30" t="n">
        <v>7</v>
      </c>
      <c r="P587" s="30" t="n">
        <v>0</v>
      </c>
      <c r="Q587" s="30" t="n">
        <v>4</v>
      </c>
      <c r="R587" s="30" t="n">
        <v>114</v>
      </c>
      <c r="S587" s="30" t="n">
        <v>5644.5</v>
      </c>
      <c r="T587" s="30" t="n">
        <v>5644.5</v>
      </c>
      <c r="U587" s="30" t="n">
        <v>5436</v>
      </c>
      <c r="V587" s="30" t="n">
        <v>208.5</v>
      </c>
      <c r="W587" s="30" t="s">
        <v>53</v>
      </c>
      <c r="X587" s="30" t="s">
        <v>53</v>
      </c>
      <c r="Y587" s="30" t="s">
        <v>53</v>
      </c>
      <c r="Z587" s="30" t="s">
        <v>53</v>
      </c>
      <c r="AA587" s="30" t="s">
        <v>53</v>
      </c>
      <c r="AB587" s="30" t="s">
        <v>53</v>
      </c>
      <c r="AC587" s="30" t="s">
        <v>54</v>
      </c>
      <c r="AD587" s="30" t="s">
        <v>53</v>
      </c>
      <c r="AE587" s="30" t="s">
        <v>54</v>
      </c>
      <c r="AF587" s="30" t="n">
        <v>4</v>
      </c>
      <c r="AG587" s="30" t="n">
        <v>0</v>
      </c>
      <c r="AH587" s="30" t="n">
        <v>1</v>
      </c>
      <c r="AI587" s="30" t="n">
        <v>0</v>
      </c>
      <c r="AJ587" s="30" t="n">
        <v>2</v>
      </c>
      <c r="AK587" s="30" t="n">
        <v>0</v>
      </c>
      <c r="AL587" s="26"/>
    </row>
    <row collapsed="false" customFormat="false" customHeight="false" hidden="false" ht="14.5" outlineLevel="0" r="588">
      <c r="A588" s="30" t="n">
        <v>581</v>
      </c>
      <c r="B588" s="30" t="s">
        <v>45</v>
      </c>
      <c r="C588" s="30" t="s">
        <v>59</v>
      </c>
      <c r="D588" s="30" t="s">
        <v>789</v>
      </c>
      <c r="E588" s="30" t="n">
        <v>13</v>
      </c>
      <c r="F588" s="30" t="n">
        <v>2</v>
      </c>
      <c r="G588" s="30"/>
      <c r="H588" s="30" t="s">
        <v>804</v>
      </c>
      <c r="I588" s="30" t="s">
        <v>56</v>
      </c>
      <c r="J588" s="30"/>
      <c r="K588" s="30" t="s">
        <v>64</v>
      </c>
      <c r="L588" s="30" t="s">
        <v>57</v>
      </c>
      <c r="M588" s="30" t="n">
        <v>1958</v>
      </c>
      <c r="N588" s="30" t="s">
        <v>58</v>
      </c>
      <c r="O588" s="30" t="n">
        <v>2</v>
      </c>
      <c r="P588" s="30" t="n">
        <v>0</v>
      </c>
      <c r="Q588" s="30" t="n">
        <v>1</v>
      </c>
      <c r="R588" s="30" t="n">
        <v>8</v>
      </c>
      <c r="S588" s="30" t="n">
        <v>506</v>
      </c>
      <c r="T588" s="30" t="n">
        <v>506</v>
      </c>
      <c r="U588" s="30" t="n">
        <v>506</v>
      </c>
      <c r="V588" s="30"/>
      <c r="W588" s="30" t="s">
        <v>53</v>
      </c>
      <c r="X588" s="30" t="s">
        <v>53</v>
      </c>
      <c r="Y588" s="30" t="s">
        <v>53</v>
      </c>
      <c r="Z588" s="30" t="s">
        <v>53</v>
      </c>
      <c r="AA588" s="30" t="s">
        <v>53</v>
      </c>
      <c r="AB588" s="30" t="s">
        <v>54</v>
      </c>
      <c r="AC588" s="30" t="s">
        <v>54</v>
      </c>
      <c r="AD588" s="30" t="s">
        <v>54</v>
      </c>
      <c r="AE588" s="30" t="s">
        <v>53</v>
      </c>
      <c r="AF588" s="30" t="n">
        <v>0</v>
      </c>
      <c r="AG588" s="30" t="n">
        <v>0</v>
      </c>
      <c r="AH588" s="30" t="n">
        <v>1</v>
      </c>
      <c r="AI588" s="30" t="n">
        <v>0</v>
      </c>
      <c r="AJ588" s="30" t="n">
        <v>0</v>
      </c>
      <c r="AK588" s="30" t="n">
        <v>0</v>
      </c>
      <c r="AL588" s="26"/>
    </row>
    <row collapsed="false" customFormat="false" customHeight="false" hidden="false" ht="14.5" outlineLevel="0" r="589">
      <c r="A589" s="30" t="n">
        <v>582</v>
      </c>
      <c r="B589" s="30" t="s">
        <v>45</v>
      </c>
      <c r="C589" s="30" t="s">
        <v>59</v>
      </c>
      <c r="D589" s="30" t="s">
        <v>789</v>
      </c>
      <c r="E589" s="30" t="n">
        <v>13</v>
      </c>
      <c r="F589" s="30" t="n">
        <v>3</v>
      </c>
      <c r="G589" s="30"/>
      <c r="H589" s="30" t="s">
        <v>805</v>
      </c>
      <c r="I589" s="30" t="s">
        <v>56</v>
      </c>
      <c r="J589" s="30"/>
      <c r="K589" s="30" t="s">
        <v>64</v>
      </c>
      <c r="L589" s="30" t="s">
        <v>57</v>
      </c>
      <c r="M589" s="30" t="n">
        <v>1958</v>
      </c>
      <c r="N589" s="30" t="s">
        <v>58</v>
      </c>
      <c r="O589" s="30" t="n">
        <v>2</v>
      </c>
      <c r="P589" s="30" t="n">
        <v>0</v>
      </c>
      <c r="Q589" s="30" t="n">
        <v>1</v>
      </c>
      <c r="R589" s="30" t="n">
        <v>9</v>
      </c>
      <c r="S589" s="30" t="n">
        <v>521</v>
      </c>
      <c r="T589" s="30" t="n">
        <v>521</v>
      </c>
      <c r="U589" s="30" t="n">
        <v>521</v>
      </c>
      <c r="V589" s="30"/>
      <c r="W589" s="30" t="s">
        <v>53</v>
      </c>
      <c r="X589" s="30" t="s">
        <v>53</v>
      </c>
      <c r="Y589" s="30" t="s">
        <v>53</v>
      </c>
      <c r="Z589" s="30" t="s">
        <v>53</v>
      </c>
      <c r="AA589" s="30" t="s">
        <v>53</v>
      </c>
      <c r="AB589" s="30" t="s">
        <v>54</v>
      </c>
      <c r="AC589" s="30" t="s">
        <v>54</v>
      </c>
      <c r="AD589" s="30" t="s">
        <v>54</v>
      </c>
      <c r="AE589" s="30" t="s">
        <v>53</v>
      </c>
      <c r="AF589" s="30" t="n">
        <v>0</v>
      </c>
      <c r="AG589" s="30" t="n">
        <v>0</v>
      </c>
      <c r="AH589" s="30" t="n">
        <v>1</v>
      </c>
      <c r="AI589" s="30" t="n">
        <v>0</v>
      </c>
      <c r="AJ589" s="30" t="n">
        <v>0</v>
      </c>
      <c r="AK589" s="30" t="n">
        <v>0</v>
      </c>
      <c r="AL589" s="26"/>
    </row>
    <row collapsed="false" customFormat="false" customHeight="false" hidden="false" ht="14.5" outlineLevel="0" r="590">
      <c r="A590" s="30" t="n">
        <v>583</v>
      </c>
      <c r="B590" s="30" t="s">
        <v>45</v>
      </c>
      <c r="C590" s="30" t="s">
        <v>59</v>
      </c>
      <c r="D590" s="30" t="s">
        <v>806</v>
      </c>
      <c r="E590" s="30" t="n">
        <v>2</v>
      </c>
      <c r="F590" s="30" t="n">
        <v>1</v>
      </c>
      <c r="G590" s="30"/>
      <c r="H590" s="30" t="s">
        <v>807</v>
      </c>
      <c r="I590" s="30" t="s">
        <v>56</v>
      </c>
      <c r="J590" s="30"/>
      <c r="K590" s="30" t="s">
        <v>101</v>
      </c>
      <c r="L590" s="30" t="s">
        <v>57</v>
      </c>
      <c r="M590" s="30" t="n">
        <v>1983</v>
      </c>
      <c r="N590" s="30" t="s">
        <v>58</v>
      </c>
      <c r="O590" s="30" t="s">
        <v>756</v>
      </c>
      <c r="P590" s="30" t="n">
        <v>0</v>
      </c>
      <c r="Q590" s="30" t="n">
        <v>5</v>
      </c>
      <c r="R590" s="30" t="n">
        <v>128</v>
      </c>
      <c r="S590" s="30" t="n">
        <v>6349</v>
      </c>
      <c r="T590" s="30" t="n">
        <v>6349</v>
      </c>
      <c r="U590" s="30" t="n">
        <v>6349</v>
      </c>
      <c r="V590" s="30"/>
      <c r="W590" s="30" t="s">
        <v>53</v>
      </c>
      <c r="X590" s="30" t="s">
        <v>53</v>
      </c>
      <c r="Y590" s="30" t="s">
        <v>53</v>
      </c>
      <c r="Z590" s="30" t="s">
        <v>53</v>
      </c>
      <c r="AA590" s="30" t="s">
        <v>53</v>
      </c>
      <c r="AB590" s="30" t="s">
        <v>53</v>
      </c>
      <c r="AC590" s="30" t="s">
        <v>54</v>
      </c>
      <c r="AD590" s="30" t="s">
        <v>53</v>
      </c>
      <c r="AE590" s="30" t="s">
        <v>54</v>
      </c>
      <c r="AF590" s="30" t="n">
        <v>3</v>
      </c>
      <c r="AG590" s="30" t="n">
        <v>0</v>
      </c>
      <c r="AH590" s="30" t="n">
        <v>1</v>
      </c>
      <c r="AI590" s="30" t="n">
        <v>0</v>
      </c>
      <c r="AJ590" s="30" t="n">
        <v>3</v>
      </c>
      <c r="AK590" s="30" t="n">
        <v>0</v>
      </c>
      <c r="AL590" s="26"/>
    </row>
    <row collapsed="false" customFormat="false" customHeight="false" hidden="false" ht="14.5" outlineLevel="0" r="591">
      <c r="A591" s="30" t="n">
        <v>584</v>
      </c>
      <c r="B591" s="30" t="s">
        <v>45</v>
      </c>
      <c r="C591" s="30" t="s">
        <v>59</v>
      </c>
      <c r="D591" s="30" t="s">
        <v>806</v>
      </c>
      <c r="E591" s="30" t="n">
        <v>2</v>
      </c>
      <c r="F591" s="30" t="n">
        <v>2</v>
      </c>
      <c r="G591" s="30"/>
      <c r="H591" s="30" t="s">
        <v>808</v>
      </c>
      <c r="I591" s="30" t="s">
        <v>56</v>
      </c>
      <c r="J591" s="30"/>
      <c r="K591" s="30" t="s">
        <v>101</v>
      </c>
      <c r="L591" s="30" t="s">
        <v>57</v>
      </c>
      <c r="M591" s="30" t="n">
        <v>1983</v>
      </c>
      <c r="N591" s="30" t="s">
        <v>58</v>
      </c>
      <c r="O591" s="30" t="n">
        <v>9</v>
      </c>
      <c r="P591" s="30" t="n">
        <v>0</v>
      </c>
      <c r="Q591" s="30" t="n">
        <v>2</v>
      </c>
      <c r="R591" s="30" t="n">
        <v>71</v>
      </c>
      <c r="S591" s="30" t="n">
        <v>3331</v>
      </c>
      <c r="T591" s="30" t="n">
        <v>3331</v>
      </c>
      <c r="U591" s="30" t="n">
        <v>3331</v>
      </c>
      <c r="V591" s="30"/>
      <c r="W591" s="30" t="s">
        <v>53</v>
      </c>
      <c r="X591" s="30" t="s">
        <v>53</v>
      </c>
      <c r="Y591" s="30" t="s">
        <v>53</v>
      </c>
      <c r="Z591" s="30" t="s">
        <v>53</v>
      </c>
      <c r="AA591" s="30" t="s">
        <v>53</v>
      </c>
      <c r="AB591" s="30" t="s">
        <v>53</v>
      </c>
      <c r="AC591" s="30" t="s">
        <v>54</v>
      </c>
      <c r="AD591" s="30" t="s">
        <v>53</v>
      </c>
      <c r="AE591" s="30" t="s">
        <v>54</v>
      </c>
      <c r="AF591" s="30" t="n">
        <v>2</v>
      </c>
      <c r="AG591" s="30" t="n">
        <v>0</v>
      </c>
      <c r="AH591" s="30" t="n">
        <v>1</v>
      </c>
      <c r="AI591" s="30" t="n">
        <v>0</v>
      </c>
      <c r="AJ591" s="30" t="n">
        <v>1</v>
      </c>
      <c r="AK591" s="30" t="n">
        <v>0</v>
      </c>
      <c r="AL591" s="26"/>
    </row>
    <row collapsed="false" customFormat="false" customHeight="false" hidden="false" ht="14.5" outlineLevel="0" r="592">
      <c r="A592" s="30" t="n">
        <v>585</v>
      </c>
      <c r="B592" s="30" t="s">
        <v>45</v>
      </c>
      <c r="C592" s="30" t="s">
        <v>59</v>
      </c>
      <c r="D592" s="30" t="s">
        <v>806</v>
      </c>
      <c r="E592" s="30" t="n">
        <v>4</v>
      </c>
      <c r="F592" s="30" t="n">
        <v>1</v>
      </c>
      <c r="G592" s="30"/>
      <c r="H592" s="30" t="s">
        <v>809</v>
      </c>
      <c r="I592" s="30" t="s">
        <v>56</v>
      </c>
      <c r="J592" s="30"/>
      <c r="K592" s="30" t="s">
        <v>101</v>
      </c>
      <c r="L592" s="30" t="s">
        <v>57</v>
      </c>
      <c r="M592" s="30" t="n">
        <v>1983</v>
      </c>
      <c r="N592" s="30" t="s">
        <v>58</v>
      </c>
      <c r="O592" s="30" t="s">
        <v>810</v>
      </c>
      <c r="P592" s="30" t="n">
        <v>0</v>
      </c>
      <c r="Q592" s="30" t="n">
        <v>5</v>
      </c>
      <c r="R592" s="30" t="n">
        <v>126</v>
      </c>
      <c r="S592" s="30" t="n">
        <v>6225</v>
      </c>
      <c r="T592" s="30" t="n">
        <v>6225</v>
      </c>
      <c r="U592" s="30" t="n">
        <v>6225</v>
      </c>
      <c r="V592" s="30"/>
      <c r="W592" s="30" t="s">
        <v>53</v>
      </c>
      <c r="X592" s="30" t="s">
        <v>53</v>
      </c>
      <c r="Y592" s="30" t="s">
        <v>53</v>
      </c>
      <c r="Z592" s="30" t="s">
        <v>53</v>
      </c>
      <c r="AA592" s="30" t="s">
        <v>53</v>
      </c>
      <c r="AB592" s="30" t="s">
        <v>53</v>
      </c>
      <c r="AC592" s="30" t="s">
        <v>54</v>
      </c>
      <c r="AD592" s="30" t="s">
        <v>53</v>
      </c>
      <c r="AE592" s="30" t="s">
        <v>54</v>
      </c>
      <c r="AF592" s="30" t="n">
        <v>3</v>
      </c>
      <c r="AG592" s="30" t="n">
        <v>0</v>
      </c>
      <c r="AH592" s="30" t="n">
        <v>1</v>
      </c>
      <c r="AI592" s="30" t="n">
        <v>0</v>
      </c>
      <c r="AJ592" s="30" t="n">
        <v>2</v>
      </c>
      <c r="AK592" s="30" t="n">
        <v>0</v>
      </c>
      <c r="AL592" s="26"/>
    </row>
    <row collapsed="false" customFormat="false" customHeight="false" hidden="false" ht="14.5" outlineLevel="0" r="593">
      <c r="A593" s="30" t="n">
        <v>586</v>
      </c>
      <c r="B593" s="30" t="s">
        <v>45</v>
      </c>
      <c r="C593" s="30" t="s">
        <v>59</v>
      </c>
      <c r="D593" s="30" t="s">
        <v>806</v>
      </c>
      <c r="E593" s="30" t="n">
        <v>4</v>
      </c>
      <c r="F593" s="30" t="n">
        <v>2</v>
      </c>
      <c r="G593" s="30"/>
      <c r="H593" s="30" t="s">
        <v>811</v>
      </c>
      <c r="I593" s="30" t="s">
        <v>56</v>
      </c>
      <c r="J593" s="30"/>
      <c r="K593" s="30" t="s">
        <v>101</v>
      </c>
      <c r="L593" s="30" t="s">
        <v>57</v>
      </c>
      <c r="M593" s="30" t="n">
        <v>1983</v>
      </c>
      <c r="N593" s="30" t="s">
        <v>58</v>
      </c>
      <c r="O593" s="30" t="n">
        <v>9</v>
      </c>
      <c r="P593" s="30" t="n">
        <v>0</v>
      </c>
      <c r="Q593" s="30" t="n">
        <v>2</v>
      </c>
      <c r="R593" s="30" t="n">
        <v>70</v>
      </c>
      <c r="S593" s="30" t="n">
        <v>3355</v>
      </c>
      <c r="T593" s="30" t="n">
        <v>3355</v>
      </c>
      <c r="U593" s="30" t="n">
        <v>3355</v>
      </c>
      <c r="V593" s="30"/>
      <c r="W593" s="30" t="s">
        <v>53</v>
      </c>
      <c r="X593" s="30" t="s">
        <v>53</v>
      </c>
      <c r="Y593" s="30" t="s">
        <v>53</v>
      </c>
      <c r="Z593" s="30" t="s">
        <v>53</v>
      </c>
      <c r="AA593" s="30" t="s">
        <v>53</v>
      </c>
      <c r="AB593" s="30" t="s">
        <v>53</v>
      </c>
      <c r="AC593" s="30" t="s">
        <v>54</v>
      </c>
      <c r="AD593" s="30" t="s">
        <v>53</v>
      </c>
      <c r="AE593" s="30" t="s">
        <v>54</v>
      </c>
      <c r="AF593" s="30" t="n">
        <v>2</v>
      </c>
      <c r="AG593" s="30" t="n">
        <v>0</v>
      </c>
      <c r="AH593" s="30" t="n">
        <v>1</v>
      </c>
      <c r="AI593" s="30" t="n">
        <v>0</v>
      </c>
      <c r="AJ593" s="30" t="n">
        <v>1</v>
      </c>
      <c r="AK593" s="30" t="n">
        <v>0</v>
      </c>
      <c r="AL593" s="26"/>
    </row>
    <row collapsed="false" customFormat="false" customHeight="false" hidden="false" ht="14.5" outlineLevel="0" r="594">
      <c r="A594" s="30" t="n">
        <v>587</v>
      </c>
      <c r="B594" s="30" t="s">
        <v>45</v>
      </c>
      <c r="C594" s="30" t="s">
        <v>59</v>
      </c>
      <c r="D594" s="30" t="s">
        <v>806</v>
      </c>
      <c r="E594" s="30" t="n">
        <v>6</v>
      </c>
      <c r="F594" s="30" t="n">
        <v>1</v>
      </c>
      <c r="G594" s="30"/>
      <c r="H594" s="30" t="s">
        <v>812</v>
      </c>
      <c r="I594" s="30" t="s">
        <v>56</v>
      </c>
      <c r="J594" s="30"/>
      <c r="K594" s="30" t="s">
        <v>101</v>
      </c>
      <c r="L594" s="30" t="s">
        <v>57</v>
      </c>
      <c r="M594" s="30" t="n">
        <v>1982</v>
      </c>
      <c r="N594" s="30" t="s">
        <v>58</v>
      </c>
      <c r="O594" s="30" t="s">
        <v>768</v>
      </c>
      <c r="P594" s="30" t="n">
        <v>0</v>
      </c>
      <c r="Q594" s="30" t="n">
        <v>5</v>
      </c>
      <c r="R594" s="30" t="n">
        <v>119</v>
      </c>
      <c r="S594" s="30" t="n">
        <v>5800</v>
      </c>
      <c r="T594" s="30" t="n">
        <v>5800</v>
      </c>
      <c r="U594" s="30" t="n">
        <v>5800</v>
      </c>
      <c r="V594" s="30"/>
      <c r="W594" s="30" t="s">
        <v>53</v>
      </c>
      <c r="X594" s="30" t="s">
        <v>53</v>
      </c>
      <c r="Y594" s="30" t="s">
        <v>53</v>
      </c>
      <c r="Z594" s="30" t="s">
        <v>53</v>
      </c>
      <c r="AA594" s="30" t="s">
        <v>53</v>
      </c>
      <c r="AB594" s="30" t="s">
        <v>53</v>
      </c>
      <c r="AC594" s="30" t="s">
        <v>54</v>
      </c>
      <c r="AD594" s="30" t="s">
        <v>53</v>
      </c>
      <c r="AE594" s="30" t="s">
        <v>54</v>
      </c>
      <c r="AF594" s="30" t="n">
        <v>3</v>
      </c>
      <c r="AG594" s="30" t="n">
        <v>0</v>
      </c>
      <c r="AH594" s="30" t="n">
        <v>2</v>
      </c>
      <c r="AI594" s="30" t="n">
        <v>0</v>
      </c>
      <c r="AJ594" s="30" t="n">
        <v>3</v>
      </c>
      <c r="AK594" s="30" t="n">
        <v>0</v>
      </c>
      <c r="AL594" s="26"/>
    </row>
    <row collapsed="false" customFormat="false" customHeight="false" hidden="false" ht="14.5" outlineLevel="0" r="595">
      <c r="A595" s="30" t="n">
        <v>588</v>
      </c>
      <c r="B595" s="30" t="s">
        <v>45</v>
      </c>
      <c r="C595" s="30" t="s">
        <v>59</v>
      </c>
      <c r="D595" s="30" t="s">
        <v>806</v>
      </c>
      <c r="E595" s="30" t="n">
        <v>10</v>
      </c>
      <c r="F595" s="30"/>
      <c r="G595" s="30"/>
      <c r="H595" s="30" t="s">
        <v>813</v>
      </c>
      <c r="I595" s="30" t="s">
        <v>56</v>
      </c>
      <c r="J595" s="30"/>
      <c r="K595" s="30" t="s">
        <v>138</v>
      </c>
      <c r="L595" s="30" t="s">
        <v>57</v>
      </c>
      <c r="M595" s="30" t="n">
        <v>1987</v>
      </c>
      <c r="N595" s="30" t="s">
        <v>108</v>
      </c>
      <c r="O595" s="30" t="s">
        <v>814</v>
      </c>
      <c r="P595" s="30" t="n">
        <v>0</v>
      </c>
      <c r="Q595" s="30" t="n">
        <v>5</v>
      </c>
      <c r="R595" s="30" t="n">
        <v>143</v>
      </c>
      <c r="S595" s="30" t="n">
        <v>8138</v>
      </c>
      <c r="T595" s="30" t="n">
        <v>8138</v>
      </c>
      <c r="U595" s="30" t="n">
        <v>8138</v>
      </c>
      <c r="V595" s="30"/>
      <c r="W595" s="30" t="s">
        <v>53</v>
      </c>
      <c r="X595" s="30" t="s">
        <v>53</v>
      </c>
      <c r="Y595" s="30" t="s">
        <v>53</v>
      </c>
      <c r="Z595" s="30" t="s">
        <v>53</v>
      </c>
      <c r="AA595" s="30" t="s">
        <v>53</v>
      </c>
      <c r="AB595" s="30" t="s">
        <v>53</v>
      </c>
      <c r="AC595" s="30" t="s">
        <v>54</v>
      </c>
      <c r="AD595" s="30" t="s">
        <v>53</v>
      </c>
      <c r="AE595" s="30" t="s">
        <v>54</v>
      </c>
      <c r="AF595" s="30" t="n">
        <v>5</v>
      </c>
      <c r="AG595" s="30" t="n">
        <v>0</v>
      </c>
      <c r="AH595" s="30" t="n">
        <v>2</v>
      </c>
      <c r="AI595" s="30" t="n">
        <v>0</v>
      </c>
      <c r="AJ595" s="30" t="n">
        <v>2</v>
      </c>
      <c r="AK595" s="30" t="n">
        <v>0</v>
      </c>
      <c r="AL595" s="26"/>
    </row>
    <row collapsed="false" customFormat="false" customHeight="false" hidden="false" ht="14.5" outlineLevel="0" r="596">
      <c r="A596" s="30" t="n">
        <v>589</v>
      </c>
      <c r="B596" s="30" t="s">
        <v>45</v>
      </c>
      <c r="C596" s="30" t="s">
        <v>59</v>
      </c>
      <c r="D596" s="30" t="s">
        <v>806</v>
      </c>
      <c r="E596" s="30" t="n">
        <v>12</v>
      </c>
      <c r="F596" s="30" t="n">
        <v>1</v>
      </c>
      <c r="G596" s="30"/>
      <c r="H596" s="30" t="s">
        <v>815</v>
      </c>
      <c r="I596" s="30" t="s">
        <v>56</v>
      </c>
      <c r="J596" s="30"/>
      <c r="K596" s="30" t="s">
        <v>101</v>
      </c>
      <c r="L596" s="30" t="s">
        <v>57</v>
      </c>
      <c r="M596" s="30" t="n">
        <v>1992</v>
      </c>
      <c r="N596" s="30" t="s">
        <v>58</v>
      </c>
      <c r="O596" s="30" t="n">
        <v>14</v>
      </c>
      <c r="P596" s="30" t="n">
        <v>0</v>
      </c>
      <c r="Q596" s="30" t="n">
        <v>1</v>
      </c>
      <c r="R596" s="30" t="n">
        <v>62</v>
      </c>
      <c r="S596" s="30" t="n">
        <v>3793.6</v>
      </c>
      <c r="T596" s="30" t="n">
        <v>3793.6</v>
      </c>
      <c r="U596" s="30" t="n">
        <v>3260</v>
      </c>
      <c r="V596" s="30" t="n">
        <v>533.6</v>
      </c>
      <c r="W596" s="30" t="s">
        <v>53</v>
      </c>
      <c r="X596" s="30" t="s">
        <v>53</v>
      </c>
      <c r="Y596" s="30" t="s">
        <v>53</v>
      </c>
      <c r="Z596" s="30" t="s">
        <v>53</v>
      </c>
      <c r="AA596" s="30" t="s">
        <v>53</v>
      </c>
      <c r="AB596" s="30" t="s">
        <v>54</v>
      </c>
      <c r="AC596" s="30" t="s">
        <v>54</v>
      </c>
      <c r="AD596" s="30" t="s">
        <v>54</v>
      </c>
      <c r="AE596" s="30" t="s">
        <v>53</v>
      </c>
      <c r="AF596" s="30" t="n">
        <v>2</v>
      </c>
      <c r="AG596" s="30" t="n">
        <v>0</v>
      </c>
      <c r="AH596" s="30" t="n">
        <v>2</v>
      </c>
      <c r="AI596" s="30" t="n">
        <v>1</v>
      </c>
      <c r="AJ596" s="30" t="n">
        <v>2</v>
      </c>
      <c r="AK596" s="30" t="n">
        <v>0</v>
      </c>
      <c r="AL596" s="26"/>
    </row>
    <row collapsed="false" customFormat="false" customHeight="false" hidden="false" ht="14.5" outlineLevel="0" r="597">
      <c r="A597" s="30" t="n">
        <v>590</v>
      </c>
      <c r="B597" s="30" t="s">
        <v>45</v>
      </c>
      <c r="C597" s="30" t="s">
        <v>59</v>
      </c>
      <c r="D597" s="30" t="s">
        <v>806</v>
      </c>
      <c r="E597" s="30" t="n">
        <v>12</v>
      </c>
      <c r="F597" s="30" t="n">
        <v>2</v>
      </c>
      <c r="G597" s="30"/>
      <c r="H597" s="30" t="s">
        <v>816</v>
      </c>
      <c r="I597" s="30" t="s">
        <v>56</v>
      </c>
      <c r="J597" s="30"/>
      <c r="K597" s="30" t="s">
        <v>101</v>
      </c>
      <c r="L597" s="30" t="s">
        <v>57</v>
      </c>
      <c r="M597" s="30" t="n">
        <v>1992</v>
      </c>
      <c r="N597" s="30" t="s">
        <v>58</v>
      </c>
      <c r="O597" s="30" t="n">
        <v>14</v>
      </c>
      <c r="P597" s="30" t="n">
        <v>0</v>
      </c>
      <c r="Q597" s="30" t="n">
        <v>1</v>
      </c>
      <c r="R597" s="30" t="n">
        <v>62</v>
      </c>
      <c r="S597" s="30" t="n">
        <v>4384.7</v>
      </c>
      <c r="T597" s="30" t="n">
        <v>4384.7</v>
      </c>
      <c r="U597" s="30" t="n">
        <v>3278</v>
      </c>
      <c r="V597" s="30" t="n">
        <v>1106.7</v>
      </c>
      <c r="W597" s="30" t="s">
        <v>53</v>
      </c>
      <c r="X597" s="30" t="s">
        <v>53</v>
      </c>
      <c r="Y597" s="30" t="s">
        <v>53</v>
      </c>
      <c r="Z597" s="30" t="s">
        <v>53</v>
      </c>
      <c r="AA597" s="30" t="s">
        <v>53</v>
      </c>
      <c r="AB597" s="30" t="s">
        <v>54</v>
      </c>
      <c r="AC597" s="30" t="s">
        <v>54</v>
      </c>
      <c r="AD597" s="30" t="s">
        <v>54</v>
      </c>
      <c r="AE597" s="30" t="s">
        <v>53</v>
      </c>
      <c r="AF597" s="30" t="n">
        <v>2</v>
      </c>
      <c r="AG597" s="30" t="n">
        <v>0</v>
      </c>
      <c r="AH597" s="30" t="n">
        <v>0</v>
      </c>
      <c r="AI597" s="30" t="n">
        <v>1</v>
      </c>
      <c r="AJ597" s="30" t="n">
        <v>2</v>
      </c>
      <c r="AK597" s="30" t="n">
        <v>0</v>
      </c>
      <c r="AL597" s="26"/>
    </row>
    <row collapsed="false" customFormat="false" customHeight="false" hidden="false" ht="14.5" outlineLevel="0" r="598">
      <c r="A598" s="30" t="n">
        <v>591</v>
      </c>
      <c r="B598" s="30" t="s">
        <v>45</v>
      </c>
      <c r="C598" s="30" t="s">
        <v>59</v>
      </c>
      <c r="D598" s="30" t="s">
        <v>806</v>
      </c>
      <c r="E598" s="30" t="n">
        <v>12</v>
      </c>
      <c r="F598" s="30" t="n">
        <v>3</v>
      </c>
      <c r="G598" s="30"/>
      <c r="H598" s="30" t="s">
        <v>817</v>
      </c>
      <c r="I598" s="30" t="s">
        <v>56</v>
      </c>
      <c r="J598" s="30"/>
      <c r="K598" s="30" t="s">
        <v>101</v>
      </c>
      <c r="L598" s="30" t="s">
        <v>57</v>
      </c>
      <c r="M598" s="30" t="n">
        <v>1992</v>
      </c>
      <c r="N598" s="30" t="s">
        <v>58</v>
      </c>
      <c r="O598" s="30" t="n">
        <v>14</v>
      </c>
      <c r="P598" s="30" t="n">
        <v>0</v>
      </c>
      <c r="Q598" s="30" t="n">
        <v>1</v>
      </c>
      <c r="R598" s="30" t="n">
        <v>62</v>
      </c>
      <c r="S598" s="30" t="n">
        <v>3633.7</v>
      </c>
      <c r="T598" s="30" t="n">
        <v>3633.7</v>
      </c>
      <c r="U598" s="30" t="n">
        <v>3233</v>
      </c>
      <c r="V598" s="30" t="n">
        <v>400.7</v>
      </c>
      <c r="W598" s="30" t="s">
        <v>53</v>
      </c>
      <c r="X598" s="30" t="s">
        <v>53</v>
      </c>
      <c r="Y598" s="30" t="s">
        <v>53</v>
      </c>
      <c r="Z598" s="30" t="s">
        <v>53</v>
      </c>
      <c r="AA598" s="30" t="s">
        <v>53</v>
      </c>
      <c r="AB598" s="30" t="s">
        <v>54</v>
      </c>
      <c r="AC598" s="30" t="s">
        <v>54</v>
      </c>
      <c r="AD598" s="30" t="s">
        <v>54</v>
      </c>
      <c r="AE598" s="30" t="s">
        <v>53</v>
      </c>
      <c r="AF598" s="30" t="n">
        <v>2</v>
      </c>
      <c r="AG598" s="30" t="n">
        <v>0</v>
      </c>
      <c r="AH598" s="30" t="n">
        <v>0</v>
      </c>
      <c r="AI598" s="30" t="n">
        <v>1</v>
      </c>
      <c r="AJ598" s="30" t="n">
        <v>2</v>
      </c>
      <c r="AK598" s="30" t="n">
        <v>0</v>
      </c>
      <c r="AL598" s="26"/>
    </row>
    <row collapsed="false" customFormat="false" customHeight="false" hidden="false" ht="14.5" outlineLevel="0" r="599">
      <c r="A599" s="30" t="n">
        <v>592</v>
      </c>
      <c r="B599" s="30" t="s">
        <v>45</v>
      </c>
      <c r="C599" s="30" t="s">
        <v>59</v>
      </c>
      <c r="D599" s="30" t="s">
        <v>806</v>
      </c>
      <c r="E599" s="30" t="n">
        <v>12</v>
      </c>
      <c r="F599" s="30" t="n">
        <v>4</v>
      </c>
      <c r="G599" s="30"/>
      <c r="H599" s="30" t="s">
        <v>818</v>
      </c>
      <c r="I599" s="30" t="s">
        <v>56</v>
      </c>
      <c r="J599" s="30"/>
      <c r="K599" s="30" t="s">
        <v>101</v>
      </c>
      <c r="L599" s="30" t="s">
        <v>57</v>
      </c>
      <c r="M599" s="30" t="n">
        <v>1992</v>
      </c>
      <c r="N599" s="30" t="s">
        <v>58</v>
      </c>
      <c r="O599" s="30" t="n">
        <v>14</v>
      </c>
      <c r="P599" s="30" t="n">
        <v>0</v>
      </c>
      <c r="Q599" s="30" t="n">
        <v>1</v>
      </c>
      <c r="R599" s="30" t="n">
        <v>62</v>
      </c>
      <c r="S599" s="30" t="n">
        <v>3943.4</v>
      </c>
      <c r="T599" s="30" t="n">
        <v>3943.4</v>
      </c>
      <c r="U599" s="30" t="n">
        <v>3291</v>
      </c>
      <c r="V599" s="30" t="n">
        <v>652.4</v>
      </c>
      <c r="W599" s="30" t="s">
        <v>53</v>
      </c>
      <c r="X599" s="30" t="s">
        <v>53</v>
      </c>
      <c r="Y599" s="30" t="s">
        <v>53</v>
      </c>
      <c r="Z599" s="30" t="s">
        <v>53</v>
      </c>
      <c r="AA599" s="30" t="s">
        <v>53</v>
      </c>
      <c r="AB599" s="30" t="s">
        <v>54</v>
      </c>
      <c r="AC599" s="30" t="s">
        <v>54</v>
      </c>
      <c r="AD599" s="30" t="s">
        <v>54</v>
      </c>
      <c r="AE599" s="30" t="s">
        <v>53</v>
      </c>
      <c r="AF599" s="30" t="n">
        <v>2</v>
      </c>
      <c r="AG599" s="30" t="n">
        <v>0</v>
      </c>
      <c r="AH599" s="30" t="n">
        <v>0</v>
      </c>
      <c r="AI599" s="30" t="n">
        <v>1</v>
      </c>
      <c r="AJ599" s="30" t="n">
        <v>2</v>
      </c>
      <c r="AK599" s="30" t="n">
        <v>0</v>
      </c>
      <c r="AL599" s="26"/>
    </row>
    <row collapsed="false" customFormat="false" customHeight="false" hidden="false" ht="14.5" outlineLevel="0" r="600">
      <c r="A600" s="30" t="n">
        <v>593</v>
      </c>
      <c r="B600" s="30" t="s">
        <v>45</v>
      </c>
      <c r="C600" s="30" t="s">
        <v>59</v>
      </c>
      <c r="D600" s="30" t="s">
        <v>806</v>
      </c>
      <c r="E600" s="30" t="n">
        <v>14</v>
      </c>
      <c r="F600" s="30"/>
      <c r="G600" s="30"/>
      <c r="H600" s="30" t="s">
        <v>819</v>
      </c>
      <c r="I600" s="30" t="s">
        <v>56</v>
      </c>
      <c r="J600" s="30"/>
      <c r="K600" s="30" t="s">
        <v>138</v>
      </c>
      <c r="L600" s="30" t="s">
        <v>57</v>
      </c>
      <c r="M600" s="30" t="n">
        <v>1987</v>
      </c>
      <c r="N600" s="30" t="s">
        <v>108</v>
      </c>
      <c r="O600" s="30" t="s">
        <v>820</v>
      </c>
      <c r="P600" s="30" t="n">
        <v>0</v>
      </c>
      <c r="Q600" s="30" t="n">
        <v>6</v>
      </c>
      <c r="R600" s="30" t="n">
        <v>159</v>
      </c>
      <c r="S600" s="30" t="n">
        <v>9175</v>
      </c>
      <c r="T600" s="30" t="n">
        <v>9175</v>
      </c>
      <c r="U600" s="30" t="n">
        <v>9175</v>
      </c>
      <c r="V600" s="30"/>
      <c r="W600" s="30" t="s">
        <v>53</v>
      </c>
      <c r="X600" s="30" t="s">
        <v>53</v>
      </c>
      <c r="Y600" s="30" t="s">
        <v>53</v>
      </c>
      <c r="Z600" s="30" t="s">
        <v>53</v>
      </c>
      <c r="AA600" s="30" t="s">
        <v>53</v>
      </c>
      <c r="AB600" s="30" t="s">
        <v>53</v>
      </c>
      <c r="AC600" s="30" t="s">
        <v>54</v>
      </c>
      <c r="AD600" s="30" t="s">
        <v>53</v>
      </c>
      <c r="AE600" s="30" t="s">
        <v>54</v>
      </c>
      <c r="AF600" s="30" t="n">
        <v>5</v>
      </c>
      <c r="AG600" s="30" t="n">
        <v>0</v>
      </c>
      <c r="AH600" s="30" t="n">
        <v>2</v>
      </c>
      <c r="AI600" s="30" t="n">
        <v>0</v>
      </c>
      <c r="AJ600" s="30" t="n">
        <v>2</v>
      </c>
      <c r="AK600" s="30" t="n">
        <v>0</v>
      </c>
      <c r="AL600" s="26"/>
    </row>
    <row collapsed="false" customFormat="false" customHeight="false" hidden="false" ht="14.5" outlineLevel="0" r="601">
      <c r="A601" s="30" t="n">
        <v>594</v>
      </c>
      <c r="B601" s="30" t="s">
        <v>45</v>
      </c>
      <c r="C601" s="30" t="s">
        <v>59</v>
      </c>
      <c r="D601" s="30" t="s">
        <v>806</v>
      </c>
      <c r="E601" s="30" t="n">
        <v>16</v>
      </c>
      <c r="F601" s="30"/>
      <c r="G601" s="30"/>
      <c r="H601" s="30" t="s">
        <v>821</v>
      </c>
      <c r="I601" s="30" t="s">
        <v>56</v>
      </c>
      <c r="J601" s="30"/>
      <c r="K601" s="30" t="s">
        <v>138</v>
      </c>
      <c r="L601" s="30" t="s">
        <v>57</v>
      </c>
      <c r="M601" s="30" t="n">
        <v>1988</v>
      </c>
      <c r="N601" s="30" t="s">
        <v>108</v>
      </c>
      <c r="O601" s="30" t="s">
        <v>822</v>
      </c>
      <c r="P601" s="30" t="n">
        <v>0</v>
      </c>
      <c r="Q601" s="30" t="n">
        <v>10</v>
      </c>
      <c r="R601" s="30" t="n">
        <v>284</v>
      </c>
      <c r="S601" s="30" t="n">
        <v>16331</v>
      </c>
      <c r="T601" s="30" t="n">
        <v>16331</v>
      </c>
      <c r="U601" s="30" t="n">
        <v>16331</v>
      </c>
      <c r="V601" s="30"/>
      <c r="W601" s="30" t="s">
        <v>53</v>
      </c>
      <c r="X601" s="30" t="s">
        <v>53</v>
      </c>
      <c r="Y601" s="30" t="s">
        <v>53</v>
      </c>
      <c r="Z601" s="30" t="s">
        <v>53</v>
      </c>
      <c r="AA601" s="30" t="s">
        <v>53</v>
      </c>
      <c r="AB601" s="30" t="s">
        <v>53</v>
      </c>
      <c r="AC601" s="30" t="s">
        <v>54</v>
      </c>
      <c r="AD601" s="30" t="s">
        <v>53</v>
      </c>
      <c r="AE601" s="30" t="s">
        <v>54</v>
      </c>
      <c r="AF601" s="30" t="n">
        <v>10</v>
      </c>
      <c r="AG601" s="30" t="n">
        <v>0</v>
      </c>
      <c r="AH601" s="30" t="n">
        <v>3</v>
      </c>
      <c r="AI601" s="30" t="n">
        <v>0</v>
      </c>
      <c r="AJ601" s="30" t="n">
        <v>3</v>
      </c>
      <c r="AK601" s="30" t="n">
        <v>0</v>
      </c>
      <c r="AL601" s="26"/>
    </row>
    <row collapsed="false" customFormat="false" customHeight="false" hidden="false" ht="14.5" outlineLevel="0" r="602">
      <c r="A602" s="30" t="n">
        <v>595</v>
      </c>
      <c r="B602" s="30" t="s">
        <v>45</v>
      </c>
      <c r="C602" s="30" t="s">
        <v>59</v>
      </c>
      <c r="D602" s="30" t="s">
        <v>806</v>
      </c>
      <c r="E602" s="30" t="n">
        <v>16</v>
      </c>
      <c r="F602" s="30" t="n">
        <v>2</v>
      </c>
      <c r="G602" s="30"/>
      <c r="H602" s="30" t="s">
        <v>823</v>
      </c>
      <c r="I602" s="30" t="s">
        <v>56</v>
      </c>
      <c r="J602" s="30"/>
      <c r="K602" s="30" t="s">
        <v>138</v>
      </c>
      <c r="L602" s="30" t="s">
        <v>57</v>
      </c>
      <c r="M602" s="30" t="n">
        <v>1988</v>
      </c>
      <c r="N602" s="30" t="s">
        <v>108</v>
      </c>
      <c r="O602" s="30" t="n">
        <v>6</v>
      </c>
      <c r="P602" s="30" t="n">
        <v>0</v>
      </c>
      <c r="Q602" s="30" t="n">
        <v>3</v>
      </c>
      <c r="R602" s="30" t="n">
        <v>71</v>
      </c>
      <c r="S602" s="30" t="n">
        <v>4153</v>
      </c>
      <c r="T602" s="30" t="n">
        <v>4153</v>
      </c>
      <c r="U602" s="30" t="n">
        <v>4153</v>
      </c>
      <c r="V602" s="30"/>
      <c r="W602" s="30" t="s">
        <v>53</v>
      </c>
      <c r="X602" s="30" t="s">
        <v>53</v>
      </c>
      <c r="Y602" s="30" t="s">
        <v>53</v>
      </c>
      <c r="Z602" s="30" t="s">
        <v>53</v>
      </c>
      <c r="AA602" s="30" t="s">
        <v>53</v>
      </c>
      <c r="AB602" s="30" t="s">
        <v>53</v>
      </c>
      <c r="AC602" s="30" t="s">
        <v>54</v>
      </c>
      <c r="AD602" s="30" t="s">
        <v>53</v>
      </c>
      <c r="AE602" s="30" t="s">
        <v>54</v>
      </c>
      <c r="AF602" s="30" t="n">
        <v>3</v>
      </c>
      <c r="AG602" s="30" t="n">
        <v>0</v>
      </c>
      <c r="AH602" s="30" t="n">
        <v>1</v>
      </c>
      <c r="AI602" s="30" t="n">
        <v>0</v>
      </c>
      <c r="AJ602" s="30" t="n">
        <v>1</v>
      </c>
      <c r="AK602" s="30" t="n">
        <v>0</v>
      </c>
      <c r="AL602" s="26"/>
    </row>
    <row collapsed="false" customFormat="false" customHeight="true" hidden="false" ht="27" outlineLevel="0" r="603">
      <c r="A603" s="30" t="n">
        <v>596</v>
      </c>
      <c r="B603" s="30" t="s">
        <v>45</v>
      </c>
      <c r="C603" s="30" t="s">
        <v>59</v>
      </c>
      <c r="D603" s="30" t="s">
        <v>806</v>
      </c>
      <c r="E603" s="30" t="n">
        <v>16</v>
      </c>
      <c r="F603" s="30" t="n">
        <v>3</v>
      </c>
      <c r="G603" s="30"/>
      <c r="H603" s="30" t="s">
        <v>824</v>
      </c>
      <c r="I603" s="30" t="s">
        <v>56</v>
      </c>
      <c r="J603" s="30"/>
      <c r="K603" s="30" t="s">
        <v>138</v>
      </c>
      <c r="L603" s="30" t="s">
        <v>57</v>
      </c>
      <c r="M603" s="30" t="n">
        <v>1988</v>
      </c>
      <c r="N603" s="30" t="s">
        <v>108</v>
      </c>
      <c r="O603" s="30" t="n">
        <v>6</v>
      </c>
      <c r="P603" s="30" t="n">
        <v>0</v>
      </c>
      <c r="Q603" s="30" t="n">
        <v>3</v>
      </c>
      <c r="R603" s="30" t="n">
        <v>71</v>
      </c>
      <c r="S603" s="30" t="n">
        <v>4230</v>
      </c>
      <c r="T603" s="30" t="n">
        <v>4230</v>
      </c>
      <c r="U603" s="30" t="n">
        <v>4230</v>
      </c>
      <c r="V603" s="30"/>
      <c r="W603" s="30" t="s">
        <v>53</v>
      </c>
      <c r="X603" s="30" t="s">
        <v>53</v>
      </c>
      <c r="Y603" s="30" t="s">
        <v>53</v>
      </c>
      <c r="Z603" s="30" t="s">
        <v>53</v>
      </c>
      <c r="AA603" s="30" t="s">
        <v>53</v>
      </c>
      <c r="AB603" s="30" t="s">
        <v>53</v>
      </c>
      <c r="AC603" s="30" t="s">
        <v>54</v>
      </c>
      <c r="AD603" s="30" t="s">
        <v>53</v>
      </c>
      <c r="AE603" s="30" t="s">
        <v>54</v>
      </c>
      <c r="AF603" s="30" t="n">
        <v>3</v>
      </c>
      <c r="AG603" s="30" t="n">
        <v>0</v>
      </c>
      <c r="AH603" s="30" t="n">
        <v>2</v>
      </c>
      <c r="AI603" s="30" t="n">
        <v>0</v>
      </c>
      <c r="AJ603" s="30" t="n">
        <v>1</v>
      </c>
      <c r="AK603" s="30" t="n">
        <v>0</v>
      </c>
      <c r="AL603" s="26"/>
    </row>
    <row collapsed="false" customFormat="false" customHeight="false" hidden="false" ht="14.5" outlineLevel="0" r="604">
      <c r="A604" s="30" t="n">
        <v>597</v>
      </c>
      <c r="B604" s="30" t="s">
        <v>45</v>
      </c>
      <c r="C604" s="30" t="s">
        <v>46</v>
      </c>
      <c r="D604" s="30" t="s">
        <v>825</v>
      </c>
      <c r="E604" s="30" t="n">
        <v>1</v>
      </c>
      <c r="F604" s="30"/>
      <c r="G604" s="30"/>
      <c r="H604" s="30" t="s">
        <v>826</v>
      </c>
      <c r="I604" s="30" t="s">
        <v>56</v>
      </c>
      <c r="J604" s="30"/>
      <c r="K604" s="30" t="s">
        <v>101</v>
      </c>
      <c r="L604" s="30" t="s">
        <v>57</v>
      </c>
      <c r="M604" s="30" t="n">
        <v>1976</v>
      </c>
      <c r="N604" s="30" t="s">
        <v>58</v>
      </c>
      <c r="O604" s="30" t="n">
        <v>5</v>
      </c>
      <c r="P604" s="30" t="n">
        <v>0</v>
      </c>
      <c r="Q604" s="30" t="n">
        <v>5</v>
      </c>
      <c r="R604" s="30" t="n">
        <v>76</v>
      </c>
      <c r="S604" s="30" t="n">
        <v>4706.3</v>
      </c>
      <c r="T604" s="30" t="n">
        <v>4706.3</v>
      </c>
      <c r="U604" s="30" t="n">
        <v>3492.6</v>
      </c>
      <c r="V604" s="30" t="n">
        <v>1213.7</v>
      </c>
      <c r="W604" s="30" t="s">
        <v>53</v>
      </c>
      <c r="X604" s="30" t="s">
        <v>53</v>
      </c>
      <c r="Y604" s="30" t="s">
        <v>53</v>
      </c>
      <c r="Z604" s="30" t="s">
        <v>53</v>
      </c>
      <c r="AA604" s="30" t="s">
        <v>53</v>
      </c>
      <c r="AB604" s="30" t="s">
        <v>53</v>
      </c>
      <c r="AC604" s="30" t="s">
        <v>54</v>
      </c>
      <c r="AD604" s="30" t="s">
        <v>53</v>
      </c>
      <c r="AE604" s="30" t="s">
        <v>54</v>
      </c>
      <c r="AF604" s="30" t="n">
        <v>0</v>
      </c>
      <c r="AG604" s="30" t="n">
        <v>0</v>
      </c>
      <c r="AH604" s="30" t="n">
        <v>1</v>
      </c>
      <c r="AI604" s="30" t="n">
        <v>0</v>
      </c>
      <c r="AJ604" s="30" t="n">
        <v>1</v>
      </c>
      <c r="AK604" s="30" t="n">
        <v>0</v>
      </c>
      <c r="AL604" s="26"/>
    </row>
    <row collapsed="false" customFormat="false" customHeight="true" hidden="false" ht="18" outlineLevel="0" r="605">
      <c r="A605" s="30" t="n">
        <v>598</v>
      </c>
      <c r="B605" s="30" t="s">
        <v>45</v>
      </c>
      <c r="C605" s="30" t="s">
        <v>46</v>
      </c>
      <c r="D605" s="30" t="s">
        <v>825</v>
      </c>
      <c r="E605" s="30" t="n">
        <v>2</v>
      </c>
      <c r="F605" s="30"/>
      <c r="G605" s="30"/>
      <c r="H605" s="30" t="s">
        <v>827</v>
      </c>
      <c r="I605" s="30" t="s">
        <v>56</v>
      </c>
      <c r="J605" s="30"/>
      <c r="K605" s="30" t="s">
        <v>138</v>
      </c>
      <c r="L605" s="30" t="s">
        <v>57</v>
      </c>
      <c r="M605" s="30" t="n">
        <v>1977</v>
      </c>
      <c r="N605" s="30" t="s">
        <v>108</v>
      </c>
      <c r="O605" s="30" t="n">
        <v>5</v>
      </c>
      <c r="P605" s="30" t="n">
        <v>0</v>
      </c>
      <c r="Q605" s="30" t="n">
        <v>6</v>
      </c>
      <c r="R605" s="30" t="n">
        <v>89</v>
      </c>
      <c r="S605" s="30" t="n">
        <v>4903</v>
      </c>
      <c r="T605" s="30" t="n">
        <v>4903</v>
      </c>
      <c r="U605" s="30" t="n">
        <v>4903</v>
      </c>
      <c r="V605" s="30"/>
      <c r="W605" s="30" t="s">
        <v>53</v>
      </c>
      <c r="X605" s="30" t="s">
        <v>53</v>
      </c>
      <c r="Y605" s="30" t="s">
        <v>54</v>
      </c>
      <c r="Z605" s="30" t="s">
        <v>53</v>
      </c>
      <c r="AA605" s="30" t="s">
        <v>53</v>
      </c>
      <c r="AB605" s="30" t="s">
        <v>53</v>
      </c>
      <c r="AC605" s="30" t="s">
        <v>53</v>
      </c>
      <c r="AD605" s="30" t="s">
        <v>53</v>
      </c>
      <c r="AE605" s="30" t="s">
        <v>54</v>
      </c>
      <c r="AF605" s="30" t="n">
        <v>0</v>
      </c>
      <c r="AG605" s="30" t="n">
        <v>0</v>
      </c>
      <c r="AH605" s="30" t="n">
        <v>1</v>
      </c>
      <c r="AI605" s="30" t="n">
        <v>0</v>
      </c>
      <c r="AJ605" s="30" t="n">
        <v>1</v>
      </c>
      <c r="AK605" s="30" t="n">
        <v>0</v>
      </c>
      <c r="AL605" s="26"/>
    </row>
    <row collapsed="false" customFormat="false" customHeight="false" hidden="false" ht="14.5" outlineLevel="0" r="606">
      <c r="A606" s="30" t="n">
        <v>599</v>
      </c>
      <c r="B606" s="30" t="s">
        <v>45</v>
      </c>
      <c r="C606" s="30" t="s">
        <v>46</v>
      </c>
      <c r="D606" s="30" t="s">
        <v>825</v>
      </c>
      <c r="E606" s="30" t="n">
        <v>6</v>
      </c>
      <c r="F606" s="30"/>
      <c r="G606" s="30"/>
      <c r="H606" s="30" t="s">
        <v>828</v>
      </c>
      <c r="I606" s="30" t="s">
        <v>56</v>
      </c>
      <c r="J606" s="30"/>
      <c r="K606" s="30" t="s">
        <v>138</v>
      </c>
      <c r="L606" s="30" t="s">
        <v>57</v>
      </c>
      <c r="M606" s="30" t="n">
        <v>1977</v>
      </c>
      <c r="N606" s="30" t="s">
        <v>108</v>
      </c>
      <c r="O606" s="30" t="n">
        <v>5</v>
      </c>
      <c r="P606" s="30" t="n">
        <v>0</v>
      </c>
      <c r="Q606" s="30" t="n">
        <v>6</v>
      </c>
      <c r="R606" s="30" t="n">
        <v>90</v>
      </c>
      <c r="S606" s="30" t="n">
        <v>4891.4</v>
      </c>
      <c r="T606" s="30" t="n">
        <v>4891.4</v>
      </c>
      <c r="U606" s="30" t="n">
        <v>4891.4</v>
      </c>
      <c r="V606" s="30"/>
      <c r="W606" s="30" t="s">
        <v>53</v>
      </c>
      <c r="X606" s="30" t="s">
        <v>53</v>
      </c>
      <c r="Y606" s="30" t="s">
        <v>54</v>
      </c>
      <c r="Z606" s="30" t="s">
        <v>53</v>
      </c>
      <c r="AA606" s="30" t="s">
        <v>53</v>
      </c>
      <c r="AB606" s="30" t="s">
        <v>53</v>
      </c>
      <c r="AC606" s="30" t="s">
        <v>53</v>
      </c>
      <c r="AD606" s="30" t="s">
        <v>53</v>
      </c>
      <c r="AE606" s="30" t="s">
        <v>54</v>
      </c>
      <c r="AF606" s="30" t="n">
        <v>0</v>
      </c>
      <c r="AG606" s="30" t="n">
        <v>0</v>
      </c>
      <c r="AH606" s="30" t="n">
        <v>1</v>
      </c>
      <c r="AI606" s="30" t="n">
        <v>0</v>
      </c>
      <c r="AJ606" s="30" t="n">
        <v>1</v>
      </c>
      <c r="AK606" s="30" t="n">
        <v>0</v>
      </c>
      <c r="AL606" s="26"/>
    </row>
    <row collapsed="false" customFormat="false" customHeight="true" hidden="false" ht="17.25" outlineLevel="0" r="607">
      <c r="A607" s="30" t="n">
        <v>600</v>
      </c>
      <c r="B607" s="30" t="s">
        <v>45</v>
      </c>
      <c r="C607" s="30" t="s">
        <v>46</v>
      </c>
      <c r="D607" s="30" t="s">
        <v>825</v>
      </c>
      <c r="E607" s="30" t="n">
        <v>7</v>
      </c>
      <c r="F607" s="30"/>
      <c r="G607" s="30"/>
      <c r="H607" s="30" t="s">
        <v>829</v>
      </c>
      <c r="I607" s="30" t="s">
        <v>56</v>
      </c>
      <c r="J607" s="30"/>
      <c r="K607" s="30" t="s">
        <v>64</v>
      </c>
      <c r="L607" s="30" t="s">
        <v>57</v>
      </c>
      <c r="M607" s="30" t="n">
        <v>1966</v>
      </c>
      <c r="N607" s="30" t="s">
        <v>108</v>
      </c>
      <c r="O607" s="30" t="n">
        <v>5</v>
      </c>
      <c r="P607" s="30" t="n">
        <v>0</v>
      </c>
      <c r="Q607" s="30" t="n">
        <v>4</v>
      </c>
      <c r="R607" s="30" t="n">
        <v>80</v>
      </c>
      <c r="S607" s="30" t="n">
        <v>3571.4</v>
      </c>
      <c r="T607" s="30" t="n">
        <v>3571.4</v>
      </c>
      <c r="U607" s="30" t="n">
        <v>3571.4</v>
      </c>
      <c r="V607" s="30"/>
      <c r="W607" s="30" t="s">
        <v>53</v>
      </c>
      <c r="X607" s="30" t="s">
        <v>53</v>
      </c>
      <c r="Y607" s="30" t="s">
        <v>53</v>
      </c>
      <c r="Z607" s="30" t="s">
        <v>53</v>
      </c>
      <c r="AA607" s="30" t="s">
        <v>53</v>
      </c>
      <c r="AB607" s="30" t="s">
        <v>53</v>
      </c>
      <c r="AC607" s="30" t="s">
        <v>54</v>
      </c>
      <c r="AD607" s="30" t="s">
        <v>53</v>
      </c>
      <c r="AE607" s="30" t="s">
        <v>54</v>
      </c>
      <c r="AF607" s="30" t="n">
        <v>0</v>
      </c>
      <c r="AG607" s="30" t="n">
        <v>0</v>
      </c>
      <c r="AH607" s="30" t="n">
        <v>1</v>
      </c>
      <c r="AI607" s="30" t="n">
        <v>0</v>
      </c>
      <c r="AJ607" s="30" t="n">
        <v>1</v>
      </c>
      <c r="AK607" s="30" t="n">
        <v>0</v>
      </c>
      <c r="AL607" s="26"/>
    </row>
    <row collapsed="false" customFormat="false" customHeight="true" hidden="false" ht="18" outlineLevel="0" r="608">
      <c r="A608" s="30" t="n">
        <v>601</v>
      </c>
      <c r="B608" s="30" t="s">
        <v>45</v>
      </c>
      <c r="C608" s="30" t="s">
        <v>46</v>
      </c>
      <c r="D608" s="30" t="s">
        <v>825</v>
      </c>
      <c r="E608" s="30" t="n">
        <v>8</v>
      </c>
      <c r="F608" s="30" t="n">
        <v>1</v>
      </c>
      <c r="G608" s="30"/>
      <c r="H608" s="30" t="s">
        <v>830</v>
      </c>
      <c r="I608" s="30" t="s">
        <v>56</v>
      </c>
      <c r="J608" s="30"/>
      <c r="K608" s="30" t="s">
        <v>138</v>
      </c>
      <c r="L608" s="30" t="s">
        <v>57</v>
      </c>
      <c r="M608" s="30" t="n">
        <v>1972</v>
      </c>
      <c r="N608" s="30" t="s">
        <v>108</v>
      </c>
      <c r="O608" s="30" t="n">
        <v>5</v>
      </c>
      <c r="P608" s="30" t="n">
        <v>0</v>
      </c>
      <c r="Q608" s="30" t="n">
        <v>8</v>
      </c>
      <c r="R608" s="30" t="n">
        <v>119</v>
      </c>
      <c r="S608" s="30" t="n">
        <v>5789.6</v>
      </c>
      <c r="T608" s="30" t="n">
        <v>5789.6</v>
      </c>
      <c r="U608" s="30" t="n">
        <v>5789.6</v>
      </c>
      <c r="V608" s="30"/>
      <c r="W608" s="30" t="s">
        <v>53</v>
      </c>
      <c r="X608" s="30" t="s">
        <v>53</v>
      </c>
      <c r="Y608" s="30" t="s">
        <v>54</v>
      </c>
      <c r="Z608" s="30" t="s">
        <v>53</v>
      </c>
      <c r="AA608" s="30" t="s">
        <v>53</v>
      </c>
      <c r="AB608" s="30" t="s">
        <v>53</v>
      </c>
      <c r="AC608" s="30" t="s">
        <v>53</v>
      </c>
      <c r="AD608" s="30" t="s">
        <v>53</v>
      </c>
      <c r="AE608" s="30" t="s">
        <v>54</v>
      </c>
      <c r="AF608" s="30" t="n">
        <v>0</v>
      </c>
      <c r="AG608" s="30" t="n">
        <v>0</v>
      </c>
      <c r="AH608" s="30" t="n">
        <v>1</v>
      </c>
      <c r="AI608" s="30" t="n">
        <v>0</v>
      </c>
      <c r="AJ608" s="30" t="n">
        <v>1</v>
      </c>
      <c r="AK608" s="30" t="n">
        <v>0</v>
      </c>
      <c r="AL608" s="26"/>
    </row>
    <row collapsed="false" customFormat="false" customHeight="false" hidden="false" ht="14.5" outlineLevel="0" r="609">
      <c r="A609" s="30" t="n">
        <v>602</v>
      </c>
      <c r="B609" s="30" t="s">
        <v>45</v>
      </c>
      <c r="C609" s="30" t="s">
        <v>46</v>
      </c>
      <c r="D609" s="30" t="s">
        <v>825</v>
      </c>
      <c r="E609" s="30" t="n">
        <v>8</v>
      </c>
      <c r="F609" s="30" t="n">
        <v>2</v>
      </c>
      <c r="G609" s="30"/>
      <c r="H609" s="30" t="s">
        <v>831</v>
      </c>
      <c r="I609" s="30" t="s">
        <v>56</v>
      </c>
      <c r="J609" s="30"/>
      <c r="K609" s="30" t="s">
        <v>138</v>
      </c>
      <c r="L609" s="30" t="s">
        <v>57</v>
      </c>
      <c r="M609" s="30" t="n">
        <v>1971</v>
      </c>
      <c r="N609" s="30" t="s">
        <v>108</v>
      </c>
      <c r="O609" s="30" t="n">
        <v>5</v>
      </c>
      <c r="P609" s="30" t="n">
        <v>0</v>
      </c>
      <c r="Q609" s="30" t="n">
        <v>6</v>
      </c>
      <c r="R609" s="30" t="n">
        <v>90</v>
      </c>
      <c r="S609" s="30" t="n">
        <v>4430.2</v>
      </c>
      <c r="T609" s="30" t="n">
        <v>4430.2</v>
      </c>
      <c r="U609" s="30" t="n">
        <v>4430.2</v>
      </c>
      <c r="V609" s="30"/>
      <c r="W609" s="30" t="s">
        <v>53</v>
      </c>
      <c r="X609" s="30" t="s">
        <v>53</v>
      </c>
      <c r="Y609" s="30" t="s">
        <v>54</v>
      </c>
      <c r="Z609" s="30" t="s">
        <v>53</v>
      </c>
      <c r="AA609" s="30" t="s">
        <v>53</v>
      </c>
      <c r="AB609" s="30" t="s">
        <v>53</v>
      </c>
      <c r="AC609" s="30" t="s">
        <v>53</v>
      </c>
      <c r="AD609" s="30" t="s">
        <v>53</v>
      </c>
      <c r="AE609" s="30" t="s">
        <v>54</v>
      </c>
      <c r="AF609" s="30" t="n">
        <v>0</v>
      </c>
      <c r="AG609" s="30" t="n">
        <v>0</v>
      </c>
      <c r="AH609" s="30" t="n">
        <v>1</v>
      </c>
      <c r="AI609" s="30" t="n">
        <v>0</v>
      </c>
      <c r="AJ609" s="30" t="n">
        <v>1</v>
      </c>
      <c r="AK609" s="30" t="n">
        <v>0</v>
      </c>
      <c r="AL609" s="26"/>
    </row>
    <row collapsed="false" customFormat="false" customHeight="false" hidden="false" ht="14.5" outlineLevel="0" r="610">
      <c r="A610" s="30" t="n">
        <v>603</v>
      </c>
      <c r="B610" s="30" t="s">
        <v>45</v>
      </c>
      <c r="C610" s="30" t="s">
        <v>46</v>
      </c>
      <c r="D610" s="30" t="s">
        <v>825</v>
      </c>
      <c r="E610" s="30" t="n">
        <v>9</v>
      </c>
      <c r="F610" s="30"/>
      <c r="G610" s="30"/>
      <c r="H610" s="30" t="s">
        <v>832</v>
      </c>
      <c r="I610" s="30" t="s">
        <v>56</v>
      </c>
      <c r="J610" s="30"/>
      <c r="K610" s="30" t="s">
        <v>64</v>
      </c>
      <c r="L610" s="30" t="s">
        <v>57</v>
      </c>
      <c r="M610" s="30" t="n">
        <v>1967</v>
      </c>
      <c r="N610" s="30" t="s">
        <v>108</v>
      </c>
      <c r="O610" s="30" t="n">
        <v>5</v>
      </c>
      <c r="P610" s="30" t="n">
        <v>0</v>
      </c>
      <c r="Q610" s="30" t="n">
        <v>4</v>
      </c>
      <c r="R610" s="30" t="n">
        <v>80</v>
      </c>
      <c r="S610" s="30" t="n">
        <v>3540.2</v>
      </c>
      <c r="T610" s="30" t="n">
        <v>3540.2</v>
      </c>
      <c r="U610" s="30" t="n">
        <v>3540.2</v>
      </c>
      <c r="V610" s="30"/>
      <c r="W610" s="30" t="s">
        <v>53</v>
      </c>
      <c r="X610" s="30" t="s">
        <v>53</v>
      </c>
      <c r="Y610" s="30" t="s">
        <v>53</v>
      </c>
      <c r="Z610" s="30" t="s">
        <v>53</v>
      </c>
      <c r="AA610" s="30" t="s">
        <v>53</v>
      </c>
      <c r="AB610" s="30" t="s">
        <v>53</v>
      </c>
      <c r="AC610" s="30" t="s">
        <v>54</v>
      </c>
      <c r="AD610" s="30" t="s">
        <v>53</v>
      </c>
      <c r="AE610" s="30" t="s">
        <v>54</v>
      </c>
      <c r="AF610" s="30" t="n">
        <v>0</v>
      </c>
      <c r="AG610" s="30" t="n">
        <v>0</v>
      </c>
      <c r="AH610" s="30" t="n">
        <v>1</v>
      </c>
      <c r="AI610" s="30" t="n">
        <v>0</v>
      </c>
      <c r="AJ610" s="30" t="n">
        <v>1</v>
      </c>
      <c r="AK610" s="30" t="n">
        <v>0</v>
      </c>
      <c r="AL610" s="26"/>
    </row>
    <row collapsed="false" customFormat="false" customHeight="false" hidden="false" ht="14.5" outlineLevel="0" r="611">
      <c r="A611" s="30" t="n">
        <v>604</v>
      </c>
      <c r="B611" s="30" t="s">
        <v>45</v>
      </c>
      <c r="C611" s="30" t="s">
        <v>46</v>
      </c>
      <c r="D611" s="30" t="s">
        <v>825</v>
      </c>
      <c r="E611" s="30" t="n">
        <v>10</v>
      </c>
      <c r="F611" s="30"/>
      <c r="G611" s="30"/>
      <c r="H611" s="30" t="s">
        <v>833</v>
      </c>
      <c r="I611" s="30" t="s">
        <v>56</v>
      </c>
      <c r="J611" s="30"/>
      <c r="K611" s="30" t="s">
        <v>138</v>
      </c>
      <c r="L611" s="30" t="s">
        <v>57</v>
      </c>
      <c r="M611" s="30" t="n">
        <v>1971</v>
      </c>
      <c r="N611" s="30" t="s">
        <v>108</v>
      </c>
      <c r="O611" s="30" t="n">
        <v>5</v>
      </c>
      <c r="P611" s="30" t="n">
        <v>0</v>
      </c>
      <c r="Q611" s="30" t="n">
        <v>4</v>
      </c>
      <c r="R611" s="30" t="n">
        <v>60</v>
      </c>
      <c r="S611" s="30" t="n">
        <v>2694.68</v>
      </c>
      <c r="T611" s="30" t="n">
        <v>2694.68</v>
      </c>
      <c r="U611" s="30" t="n">
        <v>2694.68</v>
      </c>
      <c r="V611" s="30"/>
      <c r="W611" s="30" t="s">
        <v>53</v>
      </c>
      <c r="X611" s="30" t="s">
        <v>53</v>
      </c>
      <c r="Y611" s="30" t="s">
        <v>54</v>
      </c>
      <c r="Z611" s="30" t="s">
        <v>53</v>
      </c>
      <c r="AA611" s="30" t="s">
        <v>53</v>
      </c>
      <c r="AB611" s="30" t="s">
        <v>53</v>
      </c>
      <c r="AC611" s="30" t="s">
        <v>53</v>
      </c>
      <c r="AD611" s="30" t="s">
        <v>53</v>
      </c>
      <c r="AE611" s="30" t="s">
        <v>54</v>
      </c>
      <c r="AF611" s="30" t="n">
        <v>0</v>
      </c>
      <c r="AG611" s="30" t="n">
        <v>0</v>
      </c>
      <c r="AH611" s="30" t="n">
        <v>1</v>
      </c>
      <c r="AI611" s="30" t="n">
        <v>0</v>
      </c>
      <c r="AJ611" s="30" t="n">
        <v>1</v>
      </c>
      <c r="AK611" s="30" t="n">
        <v>0</v>
      </c>
      <c r="AL611" s="26"/>
    </row>
    <row collapsed="false" customFormat="false" customHeight="false" hidden="false" ht="14.5" outlineLevel="0" r="612">
      <c r="A612" s="30" t="n">
        <v>605</v>
      </c>
      <c r="B612" s="30" t="s">
        <v>45</v>
      </c>
      <c r="C612" s="30" t="s">
        <v>46</v>
      </c>
      <c r="D612" s="30" t="s">
        <v>825</v>
      </c>
      <c r="E612" s="30" t="n">
        <v>14</v>
      </c>
      <c r="F612" s="30"/>
      <c r="G612" s="30"/>
      <c r="H612" s="30" t="s">
        <v>834</v>
      </c>
      <c r="I612" s="30" t="s">
        <v>56</v>
      </c>
      <c r="J612" s="30"/>
      <c r="K612" s="30" t="s">
        <v>101</v>
      </c>
      <c r="L612" s="30" t="s">
        <v>51</v>
      </c>
      <c r="M612" s="30" t="n">
        <v>1972</v>
      </c>
      <c r="N612" s="30"/>
      <c r="O612" s="30" t="n">
        <v>5</v>
      </c>
      <c r="P612" s="30" t="n">
        <v>0</v>
      </c>
      <c r="Q612" s="30" t="n">
        <v>2</v>
      </c>
      <c r="R612" s="30" t="n">
        <v>25</v>
      </c>
      <c r="S612" s="30" t="n">
        <v>1635.3</v>
      </c>
      <c r="T612" s="30" t="n">
        <v>1635.3</v>
      </c>
      <c r="U612" s="30" t="n">
        <v>1342.5</v>
      </c>
      <c r="V612" s="30" t="n">
        <v>292.8</v>
      </c>
      <c r="W612" s="30" t="s">
        <v>53</v>
      </c>
      <c r="X612" s="30" t="s">
        <v>53</v>
      </c>
      <c r="Y612" s="30" t="s">
        <v>54</v>
      </c>
      <c r="Z612" s="30" t="s">
        <v>53</v>
      </c>
      <c r="AA612" s="30" t="s">
        <v>53</v>
      </c>
      <c r="AB612" s="30" t="s">
        <v>53</v>
      </c>
      <c r="AC612" s="30" t="s">
        <v>53</v>
      </c>
      <c r="AD612" s="30" t="s">
        <v>53</v>
      </c>
      <c r="AE612" s="30" t="s">
        <v>54</v>
      </c>
      <c r="AF612" s="30" t="n">
        <v>0</v>
      </c>
      <c r="AG612" s="30" t="n">
        <v>0</v>
      </c>
      <c r="AH612" s="30" t="n">
        <v>1</v>
      </c>
      <c r="AI612" s="30" t="n">
        <v>0</v>
      </c>
      <c r="AJ612" s="30" t="n">
        <v>0</v>
      </c>
      <c r="AK612" s="30" t="n">
        <v>0</v>
      </c>
      <c r="AL612" s="26"/>
    </row>
    <row collapsed="false" customFormat="false" customHeight="false" hidden="false" ht="14.5" outlineLevel="0" r="613">
      <c r="A613" s="30" t="n">
        <v>606</v>
      </c>
      <c r="B613" s="30" t="s">
        <v>45</v>
      </c>
      <c r="C613" s="30" t="s">
        <v>46</v>
      </c>
      <c r="D613" s="30" t="s">
        <v>825</v>
      </c>
      <c r="E613" s="30" t="n">
        <v>16</v>
      </c>
      <c r="F613" s="30" t="n">
        <v>1</v>
      </c>
      <c r="G613" s="30"/>
      <c r="H613" s="30" t="s">
        <v>835</v>
      </c>
      <c r="I613" s="30" t="s">
        <v>56</v>
      </c>
      <c r="J613" s="30"/>
      <c r="K613" s="30" t="s">
        <v>101</v>
      </c>
      <c r="L613" s="30" t="s">
        <v>103</v>
      </c>
      <c r="M613" s="30" t="n">
        <v>1971</v>
      </c>
      <c r="N613" s="30" t="s">
        <v>58</v>
      </c>
      <c r="O613" s="30" t="n">
        <v>5</v>
      </c>
      <c r="P613" s="30" t="n">
        <v>0</v>
      </c>
      <c r="Q613" s="30" t="n">
        <v>6</v>
      </c>
      <c r="R613" s="30" t="n">
        <v>92</v>
      </c>
      <c r="S613" s="30" t="n">
        <v>4723.3</v>
      </c>
      <c r="T613" s="30" t="n">
        <v>4723.3</v>
      </c>
      <c r="U613" s="30" t="n">
        <v>4723.3</v>
      </c>
      <c r="V613" s="30"/>
      <c r="W613" s="30" t="s">
        <v>53</v>
      </c>
      <c r="X613" s="30" t="s">
        <v>53</v>
      </c>
      <c r="Y613" s="30" t="s">
        <v>54</v>
      </c>
      <c r="Z613" s="30" t="s">
        <v>53</v>
      </c>
      <c r="AA613" s="30" t="s">
        <v>53</v>
      </c>
      <c r="AB613" s="30" t="s">
        <v>53</v>
      </c>
      <c r="AC613" s="30" t="s">
        <v>53</v>
      </c>
      <c r="AD613" s="30" t="s">
        <v>53</v>
      </c>
      <c r="AE613" s="30" t="s">
        <v>54</v>
      </c>
      <c r="AF613" s="30" t="n">
        <v>0</v>
      </c>
      <c r="AG613" s="30" t="n">
        <v>0</v>
      </c>
      <c r="AH613" s="30" t="n">
        <v>1</v>
      </c>
      <c r="AI613" s="30" t="n">
        <v>0</v>
      </c>
      <c r="AJ613" s="30" t="n">
        <v>1</v>
      </c>
      <c r="AK613" s="30" t="n">
        <v>0</v>
      </c>
      <c r="AL613" s="26"/>
    </row>
    <row collapsed="false" customFormat="false" customHeight="false" hidden="false" ht="14.5" outlineLevel="0" r="614">
      <c r="A614" s="30" t="n">
        <v>607</v>
      </c>
      <c r="B614" s="30" t="s">
        <v>45</v>
      </c>
      <c r="C614" s="30" t="s">
        <v>46</v>
      </c>
      <c r="D614" s="30" t="s">
        <v>825</v>
      </c>
      <c r="E614" s="30" t="n">
        <v>18</v>
      </c>
      <c r="F614" s="30" t="n">
        <v>1</v>
      </c>
      <c r="G614" s="30"/>
      <c r="H614" s="30" t="s">
        <v>836</v>
      </c>
      <c r="I614" s="30" t="s">
        <v>56</v>
      </c>
      <c r="J614" s="30"/>
      <c r="K614" s="30" t="s">
        <v>101</v>
      </c>
      <c r="L614" s="30" t="s">
        <v>103</v>
      </c>
      <c r="M614" s="30" t="n">
        <v>1972</v>
      </c>
      <c r="N614" s="30" t="s">
        <v>58</v>
      </c>
      <c r="O614" s="30" t="n">
        <v>5</v>
      </c>
      <c r="P614" s="30" t="n">
        <v>0</v>
      </c>
      <c r="Q614" s="30" t="n">
        <v>4</v>
      </c>
      <c r="R614" s="30" t="n">
        <v>66</v>
      </c>
      <c r="S614" s="30" t="n">
        <v>3355.2</v>
      </c>
      <c r="T614" s="30" t="n">
        <v>3355.2</v>
      </c>
      <c r="U614" s="30" t="n">
        <v>3355.2</v>
      </c>
      <c r="V614" s="30"/>
      <c r="W614" s="30" t="s">
        <v>53</v>
      </c>
      <c r="X614" s="30" t="s">
        <v>53</v>
      </c>
      <c r="Y614" s="30" t="s">
        <v>54</v>
      </c>
      <c r="Z614" s="30" t="s">
        <v>53</v>
      </c>
      <c r="AA614" s="30" t="s">
        <v>53</v>
      </c>
      <c r="AB614" s="30" t="s">
        <v>53</v>
      </c>
      <c r="AC614" s="30" t="s">
        <v>53</v>
      </c>
      <c r="AD614" s="30" t="s">
        <v>53</v>
      </c>
      <c r="AE614" s="30" t="s">
        <v>54</v>
      </c>
      <c r="AF614" s="30" t="n">
        <v>0</v>
      </c>
      <c r="AG614" s="30" t="n">
        <v>0</v>
      </c>
      <c r="AH614" s="30" t="n">
        <v>1</v>
      </c>
      <c r="AI614" s="30" t="n">
        <v>0</v>
      </c>
      <c r="AJ614" s="30" t="n">
        <v>1</v>
      </c>
      <c r="AK614" s="30" t="n">
        <v>0</v>
      </c>
      <c r="AL614" s="26"/>
    </row>
    <row collapsed="false" customFormat="false" customHeight="false" hidden="false" ht="14.5" outlineLevel="0" r="615">
      <c r="A615" s="30" t="n">
        <v>608</v>
      </c>
      <c r="B615" s="30" t="s">
        <v>45</v>
      </c>
      <c r="C615" s="30" t="s">
        <v>46</v>
      </c>
      <c r="D615" s="30" t="s">
        <v>825</v>
      </c>
      <c r="E615" s="30" t="n">
        <v>18</v>
      </c>
      <c r="F615" s="30" t="n">
        <v>2</v>
      </c>
      <c r="G615" s="30"/>
      <c r="H615" s="30" t="s">
        <v>837</v>
      </c>
      <c r="I615" s="30" t="s">
        <v>56</v>
      </c>
      <c r="J615" s="30"/>
      <c r="K615" s="30" t="s">
        <v>101</v>
      </c>
      <c r="L615" s="30" t="s">
        <v>103</v>
      </c>
      <c r="M615" s="30" t="n">
        <v>1974</v>
      </c>
      <c r="N615" s="30" t="s">
        <v>58</v>
      </c>
      <c r="O615" s="30" t="n">
        <v>5</v>
      </c>
      <c r="P615" s="30" t="n">
        <v>0</v>
      </c>
      <c r="Q615" s="30" t="n">
        <v>6</v>
      </c>
      <c r="R615" s="30" t="n">
        <v>99</v>
      </c>
      <c r="S615" s="30" t="n">
        <v>4505.1</v>
      </c>
      <c r="T615" s="30" t="n">
        <v>4505.1</v>
      </c>
      <c r="U615" s="30" t="n">
        <v>4453.9</v>
      </c>
      <c r="V615" s="30" t="n">
        <v>51.2</v>
      </c>
      <c r="W615" s="30" t="s">
        <v>53</v>
      </c>
      <c r="X615" s="30" t="s">
        <v>53</v>
      </c>
      <c r="Y615" s="30" t="s">
        <v>53</v>
      </c>
      <c r="Z615" s="30" t="s">
        <v>53</v>
      </c>
      <c r="AA615" s="30" t="s">
        <v>53</v>
      </c>
      <c r="AB615" s="30" t="s">
        <v>53</v>
      </c>
      <c r="AC615" s="30" t="s">
        <v>54</v>
      </c>
      <c r="AD615" s="30" t="s">
        <v>53</v>
      </c>
      <c r="AE615" s="30" t="s">
        <v>54</v>
      </c>
      <c r="AF615" s="30" t="n">
        <v>0</v>
      </c>
      <c r="AG615" s="30" t="n">
        <v>0</v>
      </c>
      <c r="AH615" s="30" t="n">
        <v>1</v>
      </c>
      <c r="AI615" s="30" t="n">
        <v>0</v>
      </c>
      <c r="AJ615" s="30" t="n">
        <v>1</v>
      </c>
      <c r="AK615" s="30" t="n">
        <v>0</v>
      </c>
      <c r="AL615" s="26"/>
    </row>
    <row collapsed="false" customFormat="false" customHeight="false" hidden="false" ht="14.5" outlineLevel="0" r="616">
      <c r="A616" s="30" t="n">
        <v>609</v>
      </c>
      <c r="B616" s="30" t="s">
        <v>45</v>
      </c>
      <c r="C616" s="30" t="s">
        <v>46</v>
      </c>
      <c r="D616" s="30" t="s">
        <v>825</v>
      </c>
      <c r="E616" s="30" t="n">
        <v>24</v>
      </c>
      <c r="F616" s="30"/>
      <c r="G616" s="30"/>
      <c r="H616" s="30" t="s">
        <v>838</v>
      </c>
      <c r="I616" s="30" t="s">
        <v>56</v>
      </c>
      <c r="J616" s="30"/>
      <c r="K616" s="30" t="s">
        <v>64</v>
      </c>
      <c r="L616" s="30" t="s">
        <v>103</v>
      </c>
      <c r="M616" s="30" t="n">
        <v>1961</v>
      </c>
      <c r="N616" s="30" t="s">
        <v>108</v>
      </c>
      <c r="O616" s="30" t="n">
        <v>3</v>
      </c>
      <c r="P616" s="30" t="n">
        <v>0</v>
      </c>
      <c r="Q616" s="30" t="n">
        <v>2</v>
      </c>
      <c r="R616" s="30" t="n">
        <v>18</v>
      </c>
      <c r="S616" s="30" t="n">
        <v>764.44</v>
      </c>
      <c r="T616" s="30" t="n">
        <v>764.44</v>
      </c>
      <c r="U616" s="30" t="n">
        <v>764.44</v>
      </c>
      <c r="V616" s="30"/>
      <c r="W616" s="30" t="s">
        <v>53</v>
      </c>
      <c r="X616" s="30" t="s">
        <v>53</v>
      </c>
      <c r="Y616" s="30" t="s">
        <v>54</v>
      </c>
      <c r="Z616" s="30" t="s">
        <v>53</v>
      </c>
      <c r="AA616" s="30" t="s">
        <v>53</v>
      </c>
      <c r="AB616" s="30" t="s">
        <v>53</v>
      </c>
      <c r="AC616" s="30" t="s">
        <v>53</v>
      </c>
      <c r="AD616" s="30" t="s">
        <v>53</v>
      </c>
      <c r="AE616" s="30" t="s">
        <v>54</v>
      </c>
      <c r="AF616" s="30" t="n">
        <v>0</v>
      </c>
      <c r="AG616" s="30" t="n">
        <v>0</v>
      </c>
      <c r="AH616" s="30" t="n">
        <v>1</v>
      </c>
      <c r="AI616" s="30" t="n">
        <v>0</v>
      </c>
      <c r="AJ616" s="30" t="n">
        <v>0</v>
      </c>
      <c r="AK616" s="30" t="n">
        <v>0</v>
      </c>
      <c r="AL616" s="26"/>
    </row>
    <row collapsed="false" customFormat="false" customHeight="false" hidden="false" ht="14.5" outlineLevel="0" r="617">
      <c r="A617" s="30" t="n">
        <v>610</v>
      </c>
      <c r="B617" s="30" t="s">
        <v>45</v>
      </c>
      <c r="C617" s="30" t="s">
        <v>59</v>
      </c>
      <c r="D617" s="30" t="s">
        <v>839</v>
      </c>
      <c r="E617" s="30" t="n">
        <v>1</v>
      </c>
      <c r="F617" s="30"/>
      <c r="G617" s="30"/>
      <c r="H617" s="30" t="s">
        <v>840</v>
      </c>
      <c r="I617" s="30" t="s">
        <v>56</v>
      </c>
      <c r="J617" s="30"/>
      <c r="K617" s="30" t="s">
        <v>64</v>
      </c>
      <c r="L617" s="30" t="s">
        <v>57</v>
      </c>
      <c r="M617" s="30" t="n">
        <v>1959</v>
      </c>
      <c r="N617" s="30" t="s">
        <v>58</v>
      </c>
      <c r="O617" s="30" t="n">
        <v>2</v>
      </c>
      <c r="P617" s="30" t="n">
        <v>0</v>
      </c>
      <c r="Q617" s="30" t="n">
        <v>2</v>
      </c>
      <c r="R617" s="30" t="n">
        <v>16</v>
      </c>
      <c r="S617" s="30" t="n">
        <v>643</v>
      </c>
      <c r="T617" s="30" t="n">
        <v>643</v>
      </c>
      <c r="U617" s="30" t="n">
        <v>643</v>
      </c>
      <c r="V617" s="30"/>
      <c r="W617" s="30" t="s">
        <v>53</v>
      </c>
      <c r="X617" s="30" t="s">
        <v>53</v>
      </c>
      <c r="Y617" s="30" t="s">
        <v>53</v>
      </c>
      <c r="Z617" s="30" t="s">
        <v>53</v>
      </c>
      <c r="AA617" s="30" t="s">
        <v>53</v>
      </c>
      <c r="AB617" s="30" t="s">
        <v>53</v>
      </c>
      <c r="AC617" s="30" t="s">
        <v>53</v>
      </c>
      <c r="AD617" s="30" t="s">
        <v>53</v>
      </c>
      <c r="AE617" s="30" t="s">
        <v>54</v>
      </c>
      <c r="AF617" s="30" t="n">
        <v>0</v>
      </c>
      <c r="AG617" s="30" t="n">
        <v>0</v>
      </c>
      <c r="AH617" s="30" t="n">
        <v>1</v>
      </c>
      <c r="AI617" s="30" t="n">
        <v>0</v>
      </c>
      <c r="AJ617" s="30" t="n">
        <v>0</v>
      </c>
      <c r="AK617" s="30" t="n">
        <v>0</v>
      </c>
      <c r="AL617" s="26"/>
    </row>
    <row collapsed="false" customFormat="false" customHeight="false" hidden="false" ht="14.5" outlineLevel="0" r="618">
      <c r="A618" s="30" t="n">
        <v>611</v>
      </c>
      <c r="B618" s="30" t="s">
        <v>45</v>
      </c>
      <c r="C618" s="30" t="s">
        <v>59</v>
      </c>
      <c r="D618" s="30" t="s">
        <v>841</v>
      </c>
      <c r="E618" s="30" t="s">
        <v>842</v>
      </c>
      <c r="F618" s="30"/>
      <c r="G618" s="30"/>
      <c r="H618" s="30" t="s">
        <v>843</v>
      </c>
      <c r="I618" s="30" t="s">
        <v>56</v>
      </c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 t="n">
        <v>463</v>
      </c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26"/>
    </row>
    <row collapsed="false" customFormat="false" customHeight="false" hidden="false" ht="14.5" outlineLevel="0" r="619">
      <c r="A619" s="30" t="n">
        <v>612</v>
      </c>
      <c r="B619" s="30" t="s">
        <v>45</v>
      </c>
      <c r="C619" s="30" t="s">
        <v>59</v>
      </c>
      <c r="D619" s="30" t="s">
        <v>841</v>
      </c>
      <c r="E619" s="30" t="s">
        <v>407</v>
      </c>
      <c r="F619" s="30"/>
      <c r="G619" s="30"/>
      <c r="H619" s="30" t="s">
        <v>844</v>
      </c>
      <c r="I619" s="30" t="s">
        <v>56</v>
      </c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 t="n">
        <v>400</v>
      </c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26"/>
    </row>
    <row collapsed="false" customFormat="false" customHeight="false" hidden="false" ht="14.5" outlineLevel="0" r="620">
      <c r="A620" s="30" t="n">
        <v>613</v>
      </c>
      <c r="B620" s="30" t="s">
        <v>45</v>
      </c>
      <c r="C620" s="30" t="s">
        <v>59</v>
      </c>
      <c r="D620" s="30" t="s">
        <v>841</v>
      </c>
      <c r="E620" s="30" t="n">
        <v>11</v>
      </c>
      <c r="F620" s="30"/>
      <c r="G620" s="30"/>
      <c r="H620" s="30" t="s">
        <v>845</v>
      </c>
      <c r="I620" s="30" t="s">
        <v>56</v>
      </c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 t="n">
        <v>387</v>
      </c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26"/>
    </row>
    <row collapsed="false" customFormat="false" customHeight="false" hidden="false" ht="14.5" outlineLevel="0" r="621">
      <c r="A621" s="30" t="n">
        <v>614</v>
      </c>
      <c r="B621" s="30" t="s">
        <v>45</v>
      </c>
      <c r="C621" s="30" t="s">
        <v>59</v>
      </c>
      <c r="D621" s="30" t="s">
        <v>841</v>
      </c>
      <c r="E621" s="30" t="s">
        <v>846</v>
      </c>
      <c r="F621" s="30"/>
      <c r="G621" s="30"/>
      <c r="H621" s="30" t="s">
        <v>847</v>
      </c>
      <c r="I621" s="30" t="s">
        <v>56</v>
      </c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 t="n">
        <v>338</v>
      </c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26"/>
    </row>
    <row collapsed="false" customFormat="false" customHeight="false" hidden="false" ht="14.5" outlineLevel="0" r="622">
      <c r="A622" s="30" t="n">
        <v>615</v>
      </c>
      <c r="B622" s="30" t="s">
        <v>45</v>
      </c>
      <c r="C622" s="30" t="s">
        <v>59</v>
      </c>
      <c r="D622" s="30" t="s">
        <v>841</v>
      </c>
      <c r="E622" s="30" t="n">
        <v>15</v>
      </c>
      <c r="F622" s="30"/>
      <c r="G622" s="30"/>
      <c r="H622" s="30" t="s">
        <v>848</v>
      </c>
      <c r="I622" s="30" t="s">
        <v>56</v>
      </c>
      <c r="J622" s="30"/>
      <c r="K622" s="30" t="s">
        <v>57</v>
      </c>
      <c r="L622" s="30" t="s">
        <v>57</v>
      </c>
      <c r="M622" s="30" t="n">
        <v>1917</v>
      </c>
      <c r="N622" s="30" t="s">
        <v>58</v>
      </c>
      <c r="O622" s="30" t="n">
        <v>2</v>
      </c>
      <c r="P622" s="30" t="n">
        <v>0</v>
      </c>
      <c r="Q622" s="30" t="n">
        <v>2</v>
      </c>
      <c r="R622" s="30" t="n">
        <v>12</v>
      </c>
      <c r="S622" s="30" t="n">
        <v>593</v>
      </c>
      <c r="T622" s="30" t="n">
        <v>593</v>
      </c>
      <c r="U622" s="30" t="n">
        <v>593</v>
      </c>
      <c r="V622" s="30"/>
      <c r="W622" s="30" t="s">
        <v>53</v>
      </c>
      <c r="X622" s="30" t="s">
        <v>53</v>
      </c>
      <c r="Y622" s="30" t="s">
        <v>53</v>
      </c>
      <c r="Z622" s="30" t="s">
        <v>53</v>
      </c>
      <c r="AA622" s="30" t="s">
        <v>53</v>
      </c>
      <c r="AB622" s="30" t="s">
        <v>53</v>
      </c>
      <c r="AC622" s="30" t="s">
        <v>53</v>
      </c>
      <c r="AD622" s="30" t="s">
        <v>53</v>
      </c>
      <c r="AE622" s="30" t="s">
        <v>54</v>
      </c>
      <c r="AF622" s="30" t="n">
        <v>0</v>
      </c>
      <c r="AG622" s="30" t="n">
        <v>0</v>
      </c>
      <c r="AH622" s="30" t="n">
        <v>0</v>
      </c>
      <c r="AI622" s="30" t="n">
        <v>0</v>
      </c>
      <c r="AJ622" s="30" t="n">
        <v>0</v>
      </c>
      <c r="AK622" s="30" t="n">
        <v>0</v>
      </c>
      <c r="AL622" s="26"/>
    </row>
    <row collapsed="false" customFormat="false" customHeight="false" hidden="false" ht="14.5" outlineLevel="0" r="623">
      <c r="A623" s="30" t="n">
        <v>616</v>
      </c>
      <c r="B623" s="30" t="s">
        <v>45</v>
      </c>
      <c r="C623" s="30" t="s">
        <v>59</v>
      </c>
      <c r="D623" s="30" t="s">
        <v>841</v>
      </c>
      <c r="E623" s="30" t="n">
        <v>17</v>
      </c>
      <c r="F623" s="30"/>
      <c r="G623" s="30"/>
      <c r="H623" s="30" t="s">
        <v>849</v>
      </c>
      <c r="I623" s="30" t="s">
        <v>56</v>
      </c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 t="n">
        <v>370</v>
      </c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26"/>
    </row>
    <row collapsed="false" customFormat="false" customHeight="false" hidden="false" ht="14.5" outlineLevel="0" r="624">
      <c r="A624" s="30" t="n">
        <v>617</v>
      </c>
      <c r="B624" s="30" t="s">
        <v>45</v>
      </c>
      <c r="C624" s="30" t="s">
        <v>59</v>
      </c>
      <c r="D624" s="30" t="s">
        <v>841</v>
      </c>
      <c r="E624" s="30" t="n">
        <v>21</v>
      </c>
      <c r="F624" s="30"/>
      <c r="G624" s="30"/>
      <c r="H624" s="30" t="s">
        <v>850</v>
      </c>
      <c r="I624" s="30" t="s">
        <v>56</v>
      </c>
      <c r="J624" s="30"/>
      <c r="K624" s="30" t="s">
        <v>57</v>
      </c>
      <c r="L624" s="30" t="s">
        <v>57</v>
      </c>
      <c r="M624" s="30" t="n">
        <v>1917</v>
      </c>
      <c r="N624" s="30" t="s">
        <v>58</v>
      </c>
      <c r="O624" s="30" t="n">
        <v>2</v>
      </c>
      <c r="P624" s="30" t="n">
        <v>0</v>
      </c>
      <c r="Q624" s="30" t="n">
        <v>2</v>
      </c>
      <c r="R624" s="30" t="n">
        <v>9</v>
      </c>
      <c r="S624" s="30" t="n">
        <v>1107</v>
      </c>
      <c r="T624" s="30" t="n">
        <v>1107</v>
      </c>
      <c r="U624" s="30" t="n">
        <v>996</v>
      </c>
      <c r="V624" s="30" t="n">
        <v>111</v>
      </c>
      <c r="W624" s="30" t="s">
        <v>53</v>
      </c>
      <c r="X624" s="30" t="s">
        <v>53</v>
      </c>
      <c r="Y624" s="30" t="s">
        <v>53</v>
      </c>
      <c r="Z624" s="30" t="s">
        <v>53</v>
      </c>
      <c r="AA624" s="30" t="s">
        <v>53</v>
      </c>
      <c r="AB624" s="30" t="s">
        <v>53</v>
      </c>
      <c r="AC624" s="30" t="s">
        <v>53</v>
      </c>
      <c r="AD624" s="30" t="s">
        <v>53</v>
      </c>
      <c r="AE624" s="30" t="s">
        <v>54</v>
      </c>
      <c r="AF624" s="30" t="n">
        <v>0</v>
      </c>
      <c r="AG624" s="30" t="n">
        <v>0</v>
      </c>
      <c r="AH624" s="30" t="n">
        <v>0</v>
      </c>
      <c r="AI624" s="30" t="n">
        <v>0</v>
      </c>
      <c r="AJ624" s="30" t="n">
        <v>1</v>
      </c>
      <c r="AK624" s="30" t="n">
        <v>0</v>
      </c>
      <c r="AL624" s="26"/>
    </row>
    <row collapsed="false" customFormat="false" customHeight="false" hidden="false" ht="14.5" outlineLevel="0" r="625">
      <c r="A625" s="30" t="n">
        <v>618</v>
      </c>
      <c r="B625" s="30" t="s">
        <v>45</v>
      </c>
      <c r="C625" s="30" t="s">
        <v>59</v>
      </c>
      <c r="D625" s="30" t="s">
        <v>851</v>
      </c>
      <c r="E625" s="30" t="n">
        <v>2</v>
      </c>
      <c r="F625" s="30"/>
      <c r="G625" s="30"/>
      <c r="H625" s="30" t="s">
        <v>852</v>
      </c>
      <c r="I625" s="30" t="s">
        <v>56</v>
      </c>
      <c r="J625" s="30"/>
      <c r="K625" s="30" t="s">
        <v>81</v>
      </c>
      <c r="L625" s="30" t="s">
        <v>57</v>
      </c>
      <c r="M625" s="30" t="n">
        <v>1940</v>
      </c>
      <c r="N625" s="30" t="s">
        <v>58</v>
      </c>
      <c r="O625" s="30" t="n">
        <v>2</v>
      </c>
      <c r="P625" s="30" t="n">
        <v>0</v>
      </c>
      <c r="Q625" s="30" t="n">
        <v>4</v>
      </c>
      <c r="R625" s="30" t="n">
        <v>12</v>
      </c>
      <c r="S625" s="30" t="n">
        <v>1445.4</v>
      </c>
      <c r="T625" s="30" t="n">
        <v>1445.4</v>
      </c>
      <c r="U625" s="30" t="n">
        <v>946</v>
      </c>
      <c r="V625" s="30" t="n">
        <v>499.4</v>
      </c>
      <c r="W625" s="30" t="s">
        <v>53</v>
      </c>
      <c r="X625" s="30" t="s">
        <v>53</v>
      </c>
      <c r="Y625" s="30" t="s">
        <v>53</v>
      </c>
      <c r="Z625" s="30" t="s">
        <v>53</v>
      </c>
      <c r="AA625" s="30" t="s">
        <v>53</v>
      </c>
      <c r="AB625" s="30" t="s">
        <v>53</v>
      </c>
      <c r="AC625" s="30" t="s">
        <v>53</v>
      </c>
      <c r="AD625" s="30" t="s">
        <v>53</v>
      </c>
      <c r="AE625" s="30" t="s">
        <v>54</v>
      </c>
      <c r="AF625" s="30" t="n">
        <v>0</v>
      </c>
      <c r="AG625" s="30" t="n">
        <v>0</v>
      </c>
      <c r="AH625" s="30" t="n">
        <v>1</v>
      </c>
      <c r="AI625" s="30" t="n">
        <v>0</v>
      </c>
      <c r="AJ625" s="30" t="n">
        <v>0</v>
      </c>
      <c r="AK625" s="30" t="n">
        <v>0</v>
      </c>
      <c r="AL625" s="26"/>
    </row>
    <row collapsed="false" customFormat="false" customHeight="false" hidden="false" ht="14.5" outlineLevel="0" r="626">
      <c r="A626" s="30" t="n">
        <v>619</v>
      </c>
      <c r="B626" s="30" t="s">
        <v>45</v>
      </c>
      <c r="C626" s="30" t="s">
        <v>59</v>
      </c>
      <c r="D626" s="30" t="s">
        <v>851</v>
      </c>
      <c r="E626" s="30" t="n">
        <v>4</v>
      </c>
      <c r="F626" s="30"/>
      <c r="G626" s="30"/>
      <c r="H626" s="30" t="s">
        <v>853</v>
      </c>
      <c r="I626" s="30" t="s">
        <v>56</v>
      </c>
      <c r="J626" s="30"/>
      <c r="K626" s="30" t="s">
        <v>81</v>
      </c>
      <c r="L626" s="30" t="s">
        <v>57</v>
      </c>
      <c r="M626" s="30" t="n">
        <v>1940</v>
      </c>
      <c r="N626" s="30" t="s">
        <v>58</v>
      </c>
      <c r="O626" s="30" t="n">
        <v>4</v>
      </c>
      <c r="P626" s="30" t="n">
        <v>0</v>
      </c>
      <c r="Q626" s="30" t="n">
        <v>3</v>
      </c>
      <c r="R626" s="30" t="n">
        <v>21</v>
      </c>
      <c r="S626" s="30" t="n">
        <v>2182.5</v>
      </c>
      <c r="T626" s="30" t="n">
        <v>2182.5</v>
      </c>
      <c r="U626" s="30" t="n">
        <v>2008</v>
      </c>
      <c r="V626" s="30" t="n">
        <v>174.5</v>
      </c>
      <c r="W626" s="30" t="s">
        <v>53</v>
      </c>
      <c r="X626" s="30" t="s">
        <v>53</v>
      </c>
      <c r="Y626" s="30" t="s">
        <v>53</v>
      </c>
      <c r="Z626" s="30" t="s">
        <v>53</v>
      </c>
      <c r="AA626" s="30" t="s">
        <v>53</v>
      </c>
      <c r="AB626" s="30" t="s">
        <v>53</v>
      </c>
      <c r="AC626" s="30" t="s">
        <v>53</v>
      </c>
      <c r="AD626" s="30" t="s">
        <v>53</v>
      </c>
      <c r="AE626" s="30" t="s">
        <v>54</v>
      </c>
      <c r="AF626" s="30" t="n">
        <v>0</v>
      </c>
      <c r="AG626" s="30" t="n">
        <v>0</v>
      </c>
      <c r="AH626" s="30" t="n">
        <v>1</v>
      </c>
      <c r="AI626" s="30" t="n">
        <v>0</v>
      </c>
      <c r="AJ626" s="30" t="n">
        <v>0</v>
      </c>
      <c r="AK626" s="30" t="n">
        <v>0</v>
      </c>
      <c r="AL626" s="26"/>
    </row>
    <row collapsed="false" customFormat="false" customHeight="false" hidden="false" ht="14.5" outlineLevel="0" r="627">
      <c r="A627" s="30" t="n">
        <v>620</v>
      </c>
      <c r="B627" s="30" t="s">
        <v>45</v>
      </c>
      <c r="C627" s="30" t="s">
        <v>59</v>
      </c>
      <c r="D627" s="30" t="s">
        <v>851</v>
      </c>
      <c r="E627" s="30" t="n">
        <v>6</v>
      </c>
      <c r="F627" s="30"/>
      <c r="G627" s="30"/>
      <c r="H627" s="30" t="s">
        <v>854</v>
      </c>
      <c r="I627" s="30" t="s">
        <v>56</v>
      </c>
      <c r="J627" s="30"/>
      <c r="K627" s="30" t="s">
        <v>81</v>
      </c>
      <c r="L627" s="30" t="s">
        <v>57</v>
      </c>
      <c r="M627" s="30" t="n">
        <v>1940</v>
      </c>
      <c r="N627" s="30" t="s">
        <v>58</v>
      </c>
      <c r="O627" s="30" t="n">
        <v>4</v>
      </c>
      <c r="P627" s="30" t="n">
        <v>0</v>
      </c>
      <c r="Q627" s="30" t="n">
        <v>3</v>
      </c>
      <c r="R627" s="30" t="n">
        <v>25</v>
      </c>
      <c r="S627" s="30" t="n">
        <v>2164</v>
      </c>
      <c r="T627" s="30" t="n">
        <v>2164</v>
      </c>
      <c r="U627" s="30" t="n">
        <v>2164</v>
      </c>
      <c r="V627" s="30"/>
      <c r="W627" s="30" t="s">
        <v>53</v>
      </c>
      <c r="X627" s="30" t="s">
        <v>53</v>
      </c>
      <c r="Y627" s="30" t="s">
        <v>53</v>
      </c>
      <c r="Z627" s="30" t="s">
        <v>53</v>
      </c>
      <c r="AA627" s="30" t="s">
        <v>53</v>
      </c>
      <c r="AB627" s="30" t="s">
        <v>53</v>
      </c>
      <c r="AC627" s="30" t="s">
        <v>53</v>
      </c>
      <c r="AD627" s="30" t="s">
        <v>53</v>
      </c>
      <c r="AE627" s="30" t="s">
        <v>54</v>
      </c>
      <c r="AF627" s="30" t="n">
        <v>0</v>
      </c>
      <c r="AG627" s="30" t="n">
        <v>0</v>
      </c>
      <c r="AH627" s="30" t="n">
        <v>1</v>
      </c>
      <c r="AI627" s="30" t="n">
        <v>0</v>
      </c>
      <c r="AJ627" s="30" t="n">
        <v>0</v>
      </c>
      <c r="AK627" s="30" t="n">
        <v>0</v>
      </c>
      <c r="AL627" s="26"/>
    </row>
    <row collapsed="false" customFormat="false" customHeight="false" hidden="false" ht="14.5" outlineLevel="0" r="628">
      <c r="A628" s="30" t="n">
        <v>621</v>
      </c>
      <c r="B628" s="30" t="s">
        <v>45</v>
      </c>
      <c r="C628" s="30" t="s">
        <v>59</v>
      </c>
      <c r="D628" s="30" t="s">
        <v>851</v>
      </c>
      <c r="E628" s="30" t="n">
        <v>8</v>
      </c>
      <c r="F628" s="30"/>
      <c r="G628" s="30"/>
      <c r="H628" s="30" t="s">
        <v>855</v>
      </c>
      <c r="I628" s="30" t="s">
        <v>56</v>
      </c>
      <c r="J628" s="30"/>
      <c r="K628" s="30" t="s">
        <v>81</v>
      </c>
      <c r="L628" s="30" t="s">
        <v>57</v>
      </c>
      <c r="M628" s="30" t="n">
        <v>1954</v>
      </c>
      <c r="N628" s="30" t="s">
        <v>58</v>
      </c>
      <c r="O628" s="30" t="n">
        <v>4</v>
      </c>
      <c r="P628" s="30" t="n">
        <v>0</v>
      </c>
      <c r="Q628" s="30" t="n">
        <v>3</v>
      </c>
      <c r="R628" s="30" t="n">
        <v>31</v>
      </c>
      <c r="S628" s="30" t="n">
        <v>2081.6</v>
      </c>
      <c r="T628" s="30" t="n">
        <v>2081.6</v>
      </c>
      <c r="U628" s="30" t="n">
        <v>1950</v>
      </c>
      <c r="V628" s="30" t="n">
        <v>131.6</v>
      </c>
      <c r="W628" s="30" t="s">
        <v>53</v>
      </c>
      <c r="X628" s="30" t="s">
        <v>53</v>
      </c>
      <c r="Y628" s="30" t="s">
        <v>53</v>
      </c>
      <c r="Z628" s="30" t="s">
        <v>53</v>
      </c>
      <c r="AA628" s="30" t="s">
        <v>53</v>
      </c>
      <c r="AB628" s="30" t="s">
        <v>53</v>
      </c>
      <c r="AC628" s="30" t="s">
        <v>53</v>
      </c>
      <c r="AD628" s="30" t="s">
        <v>53</v>
      </c>
      <c r="AE628" s="30" t="s">
        <v>54</v>
      </c>
      <c r="AF628" s="30" t="n">
        <v>0</v>
      </c>
      <c r="AG628" s="30" t="n">
        <v>0</v>
      </c>
      <c r="AH628" s="30" t="n">
        <v>1</v>
      </c>
      <c r="AI628" s="30" t="n">
        <v>0</v>
      </c>
      <c r="AJ628" s="30" t="n">
        <v>0</v>
      </c>
      <c r="AK628" s="30" t="n">
        <v>0</v>
      </c>
      <c r="AL628" s="26"/>
    </row>
    <row collapsed="false" customFormat="false" customHeight="false" hidden="false" ht="14.5" outlineLevel="0" r="629">
      <c r="A629" s="30" t="n">
        <v>622</v>
      </c>
      <c r="B629" s="30" t="s">
        <v>45</v>
      </c>
      <c r="C629" s="30" t="s">
        <v>59</v>
      </c>
      <c r="D629" s="30" t="s">
        <v>851</v>
      </c>
      <c r="E629" s="30" t="n">
        <v>10</v>
      </c>
      <c r="F629" s="30"/>
      <c r="G629" s="30"/>
      <c r="H629" s="30" t="s">
        <v>856</v>
      </c>
      <c r="I629" s="30" t="s">
        <v>56</v>
      </c>
      <c r="J629" s="30"/>
      <c r="K629" s="30" t="s">
        <v>81</v>
      </c>
      <c r="L629" s="30" t="s">
        <v>57</v>
      </c>
      <c r="M629" s="30" t="n">
        <v>1940</v>
      </c>
      <c r="N629" s="30" t="s">
        <v>58</v>
      </c>
      <c r="O629" s="30" t="n">
        <v>4</v>
      </c>
      <c r="P629" s="30" t="n">
        <v>0</v>
      </c>
      <c r="Q629" s="30" t="n">
        <v>3</v>
      </c>
      <c r="R629" s="30" t="n">
        <v>24</v>
      </c>
      <c r="S629" s="30" t="n">
        <v>2207.9</v>
      </c>
      <c r="T629" s="30" t="n">
        <v>2207.9</v>
      </c>
      <c r="U629" s="30" t="n">
        <v>2123</v>
      </c>
      <c r="V629" s="30" t="n">
        <v>84.9</v>
      </c>
      <c r="W629" s="30" t="s">
        <v>53</v>
      </c>
      <c r="X629" s="30" t="s">
        <v>53</v>
      </c>
      <c r="Y629" s="30" t="s">
        <v>53</v>
      </c>
      <c r="Z629" s="30" t="s">
        <v>53</v>
      </c>
      <c r="AA629" s="30" t="s">
        <v>53</v>
      </c>
      <c r="AB629" s="30" t="s">
        <v>53</v>
      </c>
      <c r="AC629" s="30" t="s">
        <v>53</v>
      </c>
      <c r="AD629" s="30" t="s">
        <v>53</v>
      </c>
      <c r="AE629" s="30" t="s">
        <v>54</v>
      </c>
      <c r="AF629" s="30" t="n">
        <v>0</v>
      </c>
      <c r="AG629" s="30" t="n">
        <v>0</v>
      </c>
      <c r="AH629" s="30" t="n">
        <v>1</v>
      </c>
      <c r="AI629" s="30" t="n">
        <v>0</v>
      </c>
      <c r="AJ629" s="30" t="n">
        <v>0</v>
      </c>
      <c r="AK629" s="30" t="n">
        <v>0</v>
      </c>
      <c r="AL629" s="26"/>
    </row>
    <row collapsed="false" customFormat="false" customHeight="false" hidden="false" ht="14.5" outlineLevel="0" r="630">
      <c r="A630" s="30" t="n">
        <v>623</v>
      </c>
      <c r="B630" s="30" t="s">
        <v>45</v>
      </c>
      <c r="C630" s="30" t="s">
        <v>59</v>
      </c>
      <c r="D630" s="30" t="s">
        <v>851</v>
      </c>
      <c r="E630" s="30" t="n">
        <v>14</v>
      </c>
      <c r="F630" s="30"/>
      <c r="G630" s="30"/>
      <c r="H630" s="30" t="s">
        <v>857</v>
      </c>
      <c r="I630" s="30" t="s">
        <v>56</v>
      </c>
      <c r="J630" s="30"/>
      <c r="K630" s="30" t="s">
        <v>101</v>
      </c>
      <c r="L630" s="30" t="s">
        <v>57</v>
      </c>
      <c r="M630" s="30" t="n">
        <v>1971</v>
      </c>
      <c r="N630" s="30" t="s">
        <v>58</v>
      </c>
      <c r="O630" s="30" t="n">
        <v>5</v>
      </c>
      <c r="P630" s="30" t="n">
        <v>0</v>
      </c>
      <c r="Q630" s="30" t="n">
        <v>5</v>
      </c>
      <c r="R630" s="30" t="n">
        <v>96</v>
      </c>
      <c r="S630" s="30" t="n">
        <v>4492</v>
      </c>
      <c r="T630" s="30" t="n">
        <v>4492</v>
      </c>
      <c r="U630" s="30" t="n">
        <v>4492</v>
      </c>
      <c r="V630" s="30"/>
      <c r="W630" s="30" t="s">
        <v>53</v>
      </c>
      <c r="X630" s="30" t="s">
        <v>53</v>
      </c>
      <c r="Y630" s="30" t="s">
        <v>53</v>
      </c>
      <c r="Z630" s="30" t="s">
        <v>53</v>
      </c>
      <c r="AA630" s="30" t="s">
        <v>53</v>
      </c>
      <c r="AB630" s="30" t="s">
        <v>53</v>
      </c>
      <c r="AC630" s="30" t="s">
        <v>53</v>
      </c>
      <c r="AD630" s="30" t="s">
        <v>53</v>
      </c>
      <c r="AE630" s="30" t="s">
        <v>54</v>
      </c>
      <c r="AF630" s="30" t="n">
        <v>0</v>
      </c>
      <c r="AG630" s="30" t="n">
        <v>0</v>
      </c>
      <c r="AH630" s="30" t="n">
        <v>1</v>
      </c>
      <c r="AI630" s="30" t="n">
        <v>0</v>
      </c>
      <c r="AJ630" s="30" t="n">
        <v>1</v>
      </c>
      <c r="AK630" s="30" t="n">
        <v>0</v>
      </c>
      <c r="AL630" s="26"/>
    </row>
    <row collapsed="false" customFormat="false" customHeight="false" hidden="false" ht="14.5" outlineLevel="0" r="631">
      <c r="A631" s="30" t="n">
        <v>624</v>
      </c>
      <c r="B631" s="30" t="s">
        <v>45</v>
      </c>
      <c r="C631" s="30" t="s">
        <v>59</v>
      </c>
      <c r="D631" s="30" t="s">
        <v>851</v>
      </c>
      <c r="E631" s="30" t="n">
        <v>16</v>
      </c>
      <c r="F631" s="30"/>
      <c r="G631" s="30"/>
      <c r="H631" s="30" t="s">
        <v>858</v>
      </c>
      <c r="I631" s="30" t="s">
        <v>56</v>
      </c>
      <c r="J631" s="30"/>
      <c r="K631" s="30" t="s">
        <v>101</v>
      </c>
      <c r="L631" s="30" t="s">
        <v>57</v>
      </c>
      <c r="M631" s="30" t="n">
        <v>1971</v>
      </c>
      <c r="N631" s="30" t="s">
        <v>58</v>
      </c>
      <c r="O631" s="30" t="n">
        <v>5</v>
      </c>
      <c r="P631" s="30" t="n">
        <v>0</v>
      </c>
      <c r="Q631" s="30" t="n">
        <v>6</v>
      </c>
      <c r="R631" s="30" t="n">
        <v>120</v>
      </c>
      <c r="S631" s="30" t="n">
        <v>5323</v>
      </c>
      <c r="T631" s="30" t="n">
        <v>5323</v>
      </c>
      <c r="U631" s="30" t="n">
        <v>5323</v>
      </c>
      <c r="V631" s="30"/>
      <c r="W631" s="30" t="s">
        <v>53</v>
      </c>
      <c r="X631" s="30" t="s">
        <v>53</v>
      </c>
      <c r="Y631" s="30" t="s">
        <v>53</v>
      </c>
      <c r="Z631" s="30" t="s">
        <v>53</v>
      </c>
      <c r="AA631" s="30" t="s">
        <v>53</v>
      </c>
      <c r="AB631" s="30" t="s">
        <v>53</v>
      </c>
      <c r="AC631" s="30" t="s">
        <v>53</v>
      </c>
      <c r="AD631" s="30" t="s">
        <v>53</v>
      </c>
      <c r="AE631" s="30" t="s">
        <v>54</v>
      </c>
      <c r="AF631" s="30" t="n">
        <v>0</v>
      </c>
      <c r="AG631" s="30" t="n">
        <v>0</v>
      </c>
      <c r="AH631" s="30" t="n">
        <v>1</v>
      </c>
      <c r="AI631" s="30" t="n">
        <v>0</v>
      </c>
      <c r="AJ631" s="30" t="n">
        <v>1</v>
      </c>
      <c r="AK631" s="30" t="n">
        <v>0</v>
      </c>
      <c r="AL631" s="26"/>
    </row>
    <row collapsed="false" customFormat="false" customHeight="false" hidden="false" ht="14.5" outlineLevel="0" r="632">
      <c r="A632" s="30" t="n">
        <v>625</v>
      </c>
      <c r="B632" s="30" t="s">
        <v>45</v>
      </c>
      <c r="C632" s="30" t="s">
        <v>59</v>
      </c>
      <c r="D632" s="30" t="s">
        <v>851</v>
      </c>
      <c r="E632" s="30" t="n">
        <v>18</v>
      </c>
      <c r="F632" s="30"/>
      <c r="G632" s="30"/>
      <c r="H632" s="30" t="s">
        <v>859</v>
      </c>
      <c r="I632" s="30" t="s">
        <v>56</v>
      </c>
      <c r="J632" s="30"/>
      <c r="K632" s="30" t="s">
        <v>101</v>
      </c>
      <c r="L632" s="30" t="s">
        <v>57</v>
      </c>
      <c r="M632" s="30" t="n">
        <v>1972</v>
      </c>
      <c r="N632" s="30" t="s">
        <v>58</v>
      </c>
      <c r="O632" s="30" t="n">
        <v>5</v>
      </c>
      <c r="P632" s="30" t="n">
        <v>0</v>
      </c>
      <c r="Q632" s="30" t="n">
        <v>4</v>
      </c>
      <c r="R632" s="30" t="n">
        <v>79</v>
      </c>
      <c r="S632" s="30" t="n">
        <v>4727.4</v>
      </c>
      <c r="T632" s="30" t="n">
        <v>4727.4</v>
      </c>
      <c r="U632" s="30" t="n">
        <v>3551</v>
      </c>
      <c r="V632" s="30" t="n">
        <v>1176.4</v>
      </c>
      <c r="W632" s="30" t="s">
        <v>53</v>
      </c>
      <c r="X632" s="30" t="s">
        <v>53</v>
      </c>
      <c r="Y632" s="30" t="s">
        <v>53</v>
      </c>
      <c r="Z632" s="30" t="s">
        <v>53</v>
      </c>
      <c r="AA632" s="30" t="s">
        <v>53</v>
      </c>
      <c r="AB632" s="30" t="s">
        <v>53</v>
      </c>
      <c r="AC632" s="30" t="s">
        <v>53</v>
      </c>
      <c r="AD632" s="30" t="s">
        <v>53</v>
      </c>
      <c r="AE632" s="30" t="s">
        <v>54</v>
      </c>
      <c r="AF632" s="30" t="n">
        <v>0</v>
      </c>
      <c r="AG632" s="30" t="n">
        <v>0</v>
      </c>
      <c r="AH632" s="30" t="n">
        <v>1</v>
      </c>
      <c r="AI632" s="30" t="n">
        <v>0</v>
      </c>
      <c r="AJ632" s="30" t="n">
        <v>1</v>
      </c>
      <c r="AK632" s="30" t="n">
        <v>0</v>
      </c>
      <c r="AL632" s="26"/>
    </row>
    <row collapsed="false" customFormat="false" customHeight="false" hidden="false" ht="14.5" outlineLevel="0" r="633">
      <c r="A633" s="30" t="n">
        <v>626</v>
      </c>
      <c r="B633" s="30" t="s">
        <v>45</v>
      </c>
      <c r="C633" s="30" t="s">
        <v>59</v>
      </c>
      <c r="D633" s="30" t="s">
        <v>851</v>
      </c>
      <c r="E633" s="30" t="n">
        <v>22</v>
      </c>
      <c r="F633" s="30"/>
      <c r="G633" s="30"/>
      <c r="H633" s="30" t="s">
        <v>860</v>
      </c>
      <c r="I633" s="30" t="s">
        <v>56</v>
      </c>
      <c r="J633" s="30"/>
      <c r="K633" s="30" t="s">
        <v>101</v>
      </c>
      <c r="L633" s="30" t="s">
        <v>57</v>
      </c>
      <c r="M633" s="30" t="n">
        <v>1971</v>
      </c>
      <c r="N633" s="30" t="s">
        <v>58</v>
      </c>
      <c r="O633" s="30" t="n">
        <v>5</v>
      </c>
      <c r="P633" s="30" t="n">
        <v>0</v>
      </c>
      <c r="Q633" s="30" t="n">
        <v>6</v>
      </c>
      <c r="R633" s="30" t="n">
        <v>120</v>
      </c>
      <c r="S633" s="30" t="n">
        <v>5387</v>
      </c>
      <c r="T633" s="30" t="n">
        <v>5387</v>
      </c>
      <c r="U633" s="30" t="n">
        <v>5387</v>
      </c>
      <c r="V633" s="30"/>
      <c r="W633" s="30" t="s">
        <v>53</v>
      </c>
      <c r="X633" s="30" t="s">
        <v>53</v>
      </c>
      <c r="Y633" s="30" t="s">
        <v>53</v>
      </c>
      <c r="Z633" s="30" t="s">
        <v>53</v>
      </c>
      <c r="AA633" s="30" t="s">
        <v>53</v>
      </c>
      <c r="AB633" s="30" t="s">
        <v>53</v>
      </c>
      <c r="AC633" s="30" t="s">
        <v>53</v>
      </c>
      <c r="AD633" s="30" t="s">
        <v>53</v>
      </c>
      <c r="AE633" s="30" t="s">
        <v>54</v>
      </c>
      <c r="AF633" s="30" t="n">
        <v>0</v>
      </c>
      <c r="AG633" s="30" t="n">
        <v>0</v>
      </c>
      <c r="AH633" s="30" t="n">
        <v>1</v>
      </c>
      <c r="AI633" s="30" t="n">
        <v>0</v>
      </c>
      <c r="AJ633" s="30" t="n">
        <v>1</v>
      </c>
      <c r="AK633" s="30" t="n">
        <v>0</v>
      </c>
      <c r="AL633" s="26"/>
    </row>
    <row collapsed="false" customFormat="false" customHeight="false" hidden="false" ht="14.5" outlineLevel="0" r="634">
      <c r="A634" s="30" t="n">
        <v>627</v>
      </c>
      <c r="B634" s="30" t="s">
        <v>45</v>
      </c>
      <c r="C634" s="30" t="s">
        <v>59</v>
      </c>
      <c r="D634" s="30" t="s">
        <v>851</v>
      </c>
      <c r="E634" s="30" t="n">
        <v>24</v>
      </c>
      <c r="F634" s="30"/>
      <c r="G634" s="30"/>
      <c r="H634" s="30" t="s">
        <v>861</v>
      </c>
      <c r="I634" s="30" t="s">
        <v>56</v>
      </c>
      <c r="J634" s="30"/>
      <c r="K634" s="30" t="s">
        <v>101</v>
      </c>
      <c r="L634" s="30" t="s">
        <v>57</v>
      </c>
      <c r="M634" s="30" t="n">
        <v>1971</v>
      </c>
      <c r="N634" s="30" t="s">
        <v>58</v>
      </c>
      <c r="O634" s="30" t="n">
        <v>5</v>
      </c>
      <c r="P634" s="30" t="n">
        <v>0</v>
      </c>
      <c r="Q634" s="30" t="n">
        <v>5</v>
      </c>
      <c r="R634" s="30" t="n">
        <v>95</v>
      </c>
      <c r="S634" s="30" t="n">
        <v>4392.4</v>
      </c>
      <c r="T634" s="30" t="n">
        <v>4392.4</v>
      </c>
      <c r="U634" s="30" t="n">
        <v>4314</v>
      </c>
      <c r="V634" s="30" t="n">
        <v>78.4</v>
      </c>
      <c r="W634" s="30" t="s">
        <v>53</v>
      </c>
      <c r="X634" s="30" t="s">
        <v>53</v>
      </c>
      <c r="Y634" s="30" t="s">
        <v>53</v>
      </c>
      <c r="Z634" s="30" t="s">
        <v>53</v>
      </c>
      <c r="AA634" s="30" t="s">
        <v>53</v>
      </c>
      <c r="AB634" s="30" t="s">
        <v>53</v>
      </c>
      <c r="AC634" s="30" t="s">
        <v>53</v>
      </c>
      <c r="AD634" s="30" t="s">
        <v>53</v>
      </c>
      <c r="AE634" s="30" t="s">
        <v>54</v>
      </c>
      <c r="AF634" s="30" t="n">
        <v>0</v>
      </c>
      <c r="AG634" s="30" t="n">
        <v>0</v>
      </c>
      <c r="AH634" s="30" t="n">
        <v>1</v>
      </c>
      <c r="AI634" s="30" t="n">
        <v>0</v>
      </c>
      <c r="AJ634" s="30" t="n">
        <v>1</v>
      </c>
      <c r="AK634" s="30" t="n">
        <v>0</v>
      </c>
      <c r="AL634" s="26"/>
    </row>
    <row collapsed="false" customFormat="false" customHeight="false" hidden="false" ht="14.5" outlineLevel="0" r="635">
      <c r="A635" s="30" t="n">
        <v>628</v>
      </c>
      <c r="B635" s="30" t="s">
        <v>45</v>
      </c>
      <c r="C635" s="30" t="s">
        <v>59</v>
      </c>
      <c r="D635" s="30" t="s">
        <v>862</v>
      </c>
      <c r="E635" s="30" t="n">
        <v>17</v>
      </c>
      <c r="F635" s="30" t="n">
        <v>1</v>
      </c>
      <c r="G635" s="30"/>
      <c r="H635" s="30" t="s">
        <v>863</v>
      </c>
      <c r="I635" s="30" t="s">
        <v>56</v>
      </c>
      <c r="J635" s="30"/>
      <c r="K635" s="30" t="s">
        <v>101</v>
      </c>
      <c r="L635" s="30" t="s">
        <v>57</v>
      </c>
      <c r="M635" s="30" t="n">
        <v>1978</v>
      </c>
      <c r="N635" s="30" t="s">
        <v>58</v>
      </c>
      <c r="O635" s="30" t="n">
        <v>5</v>
      </c>
      <c r="P635" s="30" t="n">
        <v>0</v>
      </c>
      <c r="Q635" s="30" t="n">
        <v>3</v>
      </c>
      <c r="R635" s="30" t="n">
        <v>42</v>
      </c>
      <c r="S635" s="30" t="n">
        <v>3761.5</v>
      </c>
      <c r="T635" s="30" t="n">
        <v>3761.5</v>
      </c>
      <c r="U635" s="30" t="n">
        <v>3243</v>
      </c>
      <c r="V635" s="30" t="n">
        <v>518.5</v>
      </c>
      <c r="W635" s="30" t="s">
        <v>53</v>
      </c>
      <c r="X635" s="30" t="s">
        <v>53</v>
      </c>
      <c r="Y635" s="30" t="s">
        <v>53</v>
      </c>
      <c r="Z635" s="30" t="s">
        <v>53</v>
      </c>
      <c r="AA635" s="30" t="s">
        <v>53</v>
      </c>
      <c r="AB635" s="30" t="s">
        <v>53</v>
      </c>
      <c r="AC635" s="30" t="s">
        <v>54</v>
      </c>
      <c r="AD635" s="30" t="s">
        <v>53</v>
      </c>
      <c r="AE635" s="30" t="s">
        <v>54</v>
      </c>
      <c r="AF635" s="30" t="n">
        <v>0</v>
      </c>
      <c r="AG635" s="30" t="n">
        <v>0</v>
      </c>
      <c r="AH635" s="30" t="n">
        <v>1</v>
      </c>
      <c r="AI635" s="30" t="n">
        <v>0</v>
      </c>
      <c r="AJ635" s="30" t="n">
        <v>1</v>
      </c>
      <c r="AK635" s="30" t="n">
        <v>0</v>
      </c>
      <c r="AL635" s="26"/>
    </row>
    <row collapsed="false" customFormat="false" customHeight="false" hidden="false" ht="14.5" outlineLevel="0" r="636">
      <c r="A636" s="30" t="n">
        <v>629</v>
      </c>
      <c r="B636" s="30" t="s">
        <v>45</v>
      </c>
      <c r="C636" s="30" t="s">
        <v>59</v>
      </c>
      <c r="D636" s="30" t="s">
        <v>862</v>
      </c>
      <c r="E636" s="30" t="n">
        <v>19</v>
      </c>
      <c r="F636" s="30" t="n">
        <v>2</v>
      </c>
      <c r="G636" s="30"/>
      <c r="H636" s="30" t="s">
        <v>864</v>
      </c>
      <c r="I636" s="30" t="s">
        <v>56</v>
      </c>
      <c r="J636" s="30"/>
      <c r="K636" s="30" t="s">
        <v>101</v>
      </c>
      <c r="L636" s="30" t="s">
        <v>57</v>
      </c>
      <c r="M636" s="30" t="n">
        <v>1977</v>
      </c>
      <c r="N636" s="30" t="s">
        <v>58</v>
      </c>
      <c r="O636" s="30" t="n">
        <v>5</v>
      </c>
      <c r="P636" s="30" t="n">
        <v>0</v>
      </c>
      <c r="Q636" s="30" t="n">
        <v>5</v>
      </c>
      <c r="R636" s="30" t="n">
        <v>81</v>
      </c>
      <c r="S636" s="30" t="n">
        <v>3987</v>
      </c>
      <c r="T636" s="30" t="n">
        <v>3987</v>
      </c>
      <c r="U636" s="30" t="n">
        <v>3987</v>
      </c>
      <c r="V636" s="30"/>
      <c r="W636" s="30" t="s">
        <v>53</v>
      </c>
      <c r="X636" s="30" t="s">
        <v>53</v>
      </c>
      <c r="Y636" s="30" t="s">
        <v>53</v>
      </c>
      <c r="Z636" s="30" t="s">
        <v>53</v>
      </c>
      <c r="AA636" s="30" t="s">
        <v>53</v>
      </c>
      <c r="AB636" s="30" t="s">
        <v>53</v>
      </c>
      <c r="AC636" s="30" t="s">
        <v>54</v>
      </c>
      <c r="AD636" s="30" t="s">
        <v>53</v>
      </c>
      <c r="AE636" s="30" t="s">
        <v>54</v>
      </c>
      <c r="AF636" s="30" t="n">
        <v>0</v>
      </c>
      <c r="AG636" s="30" t="n">
        <v>0</v>
      </c>
      <c r="AH636" s="30" t="n">
        <v>1</v>
      </c>
      <c r="AI636" s="30" t="n">
        <v>1</v>
      </c>
      <c r="AJ636" s="30" t="n">
        <v>2</v>
      </c>
      <c r="AK636" s="30" t="n">
        <v>0</v>
      </c>
      <c r="AL636" s="26"/>
    </row>
    <row collapsed="false" customFormat="false" customHeight="false" hidden="false" ht="14.5" outlineLevel="0" r="637">
      <c r="A637" s="30" t="n">
        <v>630</v>
      </c>
      <c r="B637" s="30" t="s">
        <v>45</v>
      </c>
      <c r="C637" s="30" t="s">
        <v>59</v>
      </c>
      <c r="D637" s="30" t="s">
        <v>862</v>
      </c>
      <c r="E637" s="30" t="n">
        <v>19</v>
      </c>
      <c r="F637" s="30" t="n">
        <v>3</v>
      </c>
      <c r="G637" s="30"/>
      <c r="H637" s="30" t="s">
        <v>865</v>
      </c>
      <c r="I637" s="30" t="s">
        <v>56</v>
      </c>
      <c r="J637" s="30"/>
      <c r="K637" s="30" t="s">
        <v>101</v>
      </c>
      <c r="L637" s="30" t="s">
        <v>57</v>
      </c>
      <c r="M637" s="30" t="n">
        <v>1975</v>
      </c>
      <c r="N637" s="30" t="s">
        <v>58</v>
      </c>
      <c r="O637" s="30" t="n">
        <v>5</v>
      </c>
      <c r="P637" s="30" t="n">
        <v>0</v>
      </c>
      <c r="Q637" s="30" t="n">
        <v>5</v>
      </c>
      <c r="R637" s="30" t="n">
        <v>82</v>
      </c>
      <c r="S637" s="30" t="n">
        <v>3958</v>
      </c>
      <c r="T637" s="30" t="n">
        <v>3958</v>
      </c>
      <c r="U637" s="30" t="n">
        <v>3958</v>
      </c>
      <c r="V637" s="30"/>
      <c r="W637" s="30" t="s">
        <v>53</v>
      </c>
      <c r="X637" s="30" t="s">
        <v>53</v>
      </c>
      <c r="Y637" s="30" t="s">
        <v>53</v>
      </c>
      <c r="Z637" s="30" t="s">
        <v>53</v>
      </c>
      <c r="AA637" s="30" t="s">
        <v>53</v>
      </c>
      <c r="AB637" s="30" t="s">
        <v>53</v>
      </c>
      <c r="AC637" s="30" t="s">
        <v>54</v>
      </c>
      <c r="AD637" s="30" t="s">
        <v>53</v>
      </c>
      <c r="AE637" s="30" t="s">
        <v>54</v>
      </c>
      <c r="AF637" s="30" t="n">
        <v>0</v>
      </c>
      <c r="AG637" s="30" t="n">
        <v>0</v>
      </c>
      <c r="AH637" s="30" t="n">
        <v>1</v>
      </c>
      <c r="AI637" s="30" t="n">
        <v>1</v>
      </c>
      <c r="AJ637" s="30" t="n">
        <v>2</v>
      </c>
      <c r="AK637" s="30" t="n">
        <v>0</v>
      </c>
      <c r="AL637" s="26"/>
    </row>
    <row collapsed="false" customFormat="false" customHeight="true" hidden="false" ht="15.75" outlineLevel="0" r="638">
      <c r="A638" s="30" t="n">
        <v>631</v>
      </c>
      <c r="B638" s="30" t="s">
        <v>45</v>
      </c>
      <c r="C638" s="30" t="s">
        <v>59</v>
      </c>
      <c r="D638" s="30" t="s">
        <v>862</v>
      </c>
      <c r="E638" s="30" t="n">
        <v>20</v>
      </c>
      <c r="F638" s="30"/>
      <c r="G638" s="30"/>
      <c r="H638" s="30" t="s">
        <v>866</v>
      </c>
      <c r="I638" s="30" t="s">
        <v>56</v>
      </c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 t="n">
        <v>266</v>
      </c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26"/>
    </row>
    <row collapsed="false" customFormat="false" customHeight="false" hidden="false" ht="14.5" outlineLevel="0" r="639">
      <c r="A639" s="34" t="s">
        <v>867</v>
      </c>
      <c r="B639" s="34"/>
      <c r="C639" s="34"/>
      <c r="D639" s="34"/>
      <c r="E639" s="34"/>
      <c r="F639" s="34"/>
      <c r="G639" s="34"/>
      <c r="H639" s="26" t="n">
        <f aca="false">SUM(H8:H638)</f>
        <v>0</v>
      </c>
      <c r="I639" s="26" t="n">
        <f aca="false">SUM(I8:I638)</f>
        <v>0</v>
      </c>
      <c r="J639" s="26" t="n">
        <f aca="false">SUM(J8:J638)</f>
        <v>0</v>
      </c>
      <c r="K639" s="26" t="n">
        <f aca="false">SUM(K8:K638)</f>
        <v>0</v>
      </c>
      <c r="L639" s="26" t="n">
        <f aca="false">SUM(L8:L638)</f>
        <v>131</v>
      </c>
      <c r="M639" s="26" t="n">
        <f aca="false">SUM(M8:M638)</f>
        <v>1100425</v>
      </c>
      <c r="N639" s="26" t="n">
        <f aca="false">SUM(N8:N638)</f>
        <v>0</v>
      </c>
      <c r="O639" s="26" t="n">
        <f aca="false">SUM(O8:O638)</f>
        <v>2410</v>
      </c>
      <c r="P639" s="26" t="n">
        <f aca="false">SUM(P8:P638)</f>
        <v>0</v>
      </c>
      <c r="Q639" s="26" t="n">
        <f aca="false">SUM(Q8:Q638)</f>
        <v>1974</v>
      </c>
      <c r="R639" s="26" t="n">
        <f aca="false">SUM(R8:R638)</f>
        <v>34369</v>
      </c>
      <c r="S639" s="26" t="n">
        <f aca="false">SUM(S8:S638)</f>
        <v>1780769.89</v>
      </c>
      <c r="T639" s="26" t="n">
        <f aca="false">SUM(T8:T638)</f>
        <v>1773745.09</v>
      </c>
      <c r="U639" s="26" t="n">
        <f aca="false">SUM(U8:U638)</f>
        <v>1705157.02</v>
      </c>
      <c r="V639" s="26" t="n">
        <f aca="false">SUM(V8:V638)</f>
        <v>79524.32</v>
      </c>
      <c r="W639" s="26" t="n">
        <f aca="false">SUM(W8:W638)</f>
        <v>0</v>
      </c>
      <c r="X639" s="26" t="n">
        <f aca="false">SUM(X8:X638)</f>
        <v>0</v>
      </c>
      <c r="Y639" s="26" t="n">
        <f aca="false">SUM(Y8:Y638)</f>
        <v>0</v>
      </c>
      <c r="Z639" s="26" t="n">
        <f aca="false">SUM(Z8:Z638)</f>
        <v>0</v>
      </c>
      <c r="AA639" s="26" t="n">
        <f aca="false">SUM(AA8:AA638)</f>
        <v>0</v>
      </c>
      <c r="AB639" s="26" t="n">
        <f aca="false">SUM(AB8:AB638)</f>
        <v>0</v>
      </c>
      <c r="AC639" s="26" t="n">
        <f aca="false">SUM(AC8:AC638)</f>
        <v>0</v>
      </c>
      <c r="AD639" s="26" t="n">
        <f aca="false">SUM(AD8:AD638)</f>
        <v>0</v>
      </c>
      <c r="AE639" s="26" t="n">
        <f aca="false">SUM(AE8:AE638)</f>
        <v>0</v>
      </c>
      <c r="AF639" s="26" t="n">
        <f aca="false">SUM(AF8:AF638)</f>
        <v>328</v>
      </c>
      <c r="AG639" s="26" t="n">
        <f aca="false">SUM(AG8:AG638)</f>
        <v>20</v>
      </c>
      <c r="AH639" s="26" t="n">
        <f aca="false">SUM(AH8:AH638)</f>
        <v>526</v>
      </c>
      <c r="AI639" s="26" t="n">
        <f aca="false">SUM(AI8:AI638)</f>
        <v>42</v>
      </c>
      <c r="AJ639" s="26" t="n">
        <f aca="false">SUM(AJ8:AJ638)</f>
        <v>556</v>
      </c>
      <c r="AK639" s="26" t="n">
        <f aca="false">SUM(AK8:AK638)</f>
        <v>0</v>
      </c>
      <c r="AL639" s="26" t="n">
        <f aca="false">SUM(AL8:AL638)</f>
        <v>0</v>
      </c>
    </row>
  </sheetData>
  <autoFilter ref="A7:AL639"/>
  <mergeCells count="6">
    <mergeCell ref="A5:A6"/>
    <mergeCell ref="B5:J5"/>
    <mergeCell ref="K5:AF5"/>
    <mergeCell ref="AG5:AK5"/>
    <mergeCell ref="AL5:AL6"/>
    <mergeCell ref="A639:G639"/>
  </mergeCells>
  <printOptions headings="false" gridLines="false" gridLinesSet="true" horizontalCentered="false" verticalCentered="false"/>
  <pageMargins left="0.25" right="0.25" top="0.75" bottom="0.75" header="0.511805555555555" footer="0.3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1"/>
  <sheetViews>
    <sheetView colorId="64" defaultGridColor="true" rightToLeft="false" showFormulas="false" showGridLines="true" showOutlineSymbols="true" showRowColHeaders="true" showZeros="true" tabSelected="false" topLeftCell="A16" view="pageBreakPreview" windowProtection="false" workbookViewId="0" zoomScale="50" zoomScaleNormal="60" zoomScalePageLayoutView="50">
      <selection activeCell="N44" activeCellId="0" pane="topLeft" sqref="N44"/>
    </sheetView>
  </sheetViews>
  <sheetFormatPr defaultRowHeight="15.6"/>
  <cols>
    <col collapsed="false" hidden="false" max="1" min="1" style="1" width="5.4412955465587"/>
    <col collapsed="false" hidden="false" max="5" min="2" style="1" width="9.66396761133603"/>
    <col collapsed="false" hidden="false" max="7" min="6" style="1" width="10.8825910931174"/>
    <col collapsed="false" hidden="false" max="9" min="8" style="1" width="9.66396761133603"/>
    <col collapsed="false" hidden="false" max="10" min="10" style="1" width="17.004048582996"/>
    <col collapsed="false" hidden="false" max="12" min="11" style="1" width="9.66396761133603"/>
    <col collapsed="false" hidden="false" max="13" min="13" style="1" width="12.8906882591093"/>
    <col collapsed="false" hidden="false" max="14" min="14" style="1" width="10.5546558704453"/>
    <col collapsed="false" hidden="false" max="15" min="15" style="1" width="16.8906882591093"/>
    <col collapsed="false" hidden="false" max="18" min="16" style="1" width="9.66396761133603"/>
    <col collapsed="false" hidden="false" max="20" min="19" style="1" width="8.66396761133603"/>
    <col collapsed="false" hidden="false" max="22" min="21" style="1" width="8.88259109311741"/>
    <col collapsed="false" hidden="false" max="23" min="23" style="1" width="10.4412955465587"/>
    <col collapsed="false" hidden="false" max="25" min="24" style="1" width="9.66396761133603"/>
    <col collapsed="false" hidden="false" max="26" min="26" style="1" width="11.4412955465587"/>
    <col collapsed="false" hidden="false" max="27" min="27" style="1" width="9.66396761133603"/>
    <col collapsed="false" hidden="false" max="28" min="28" style="1" width="18.4372469635628"/>
    <col collapsed="false" hidden="false" max="1025" min="29" style="1" width="9.11336032388664"/>
  </cols>
  <sheetData>
    <row collapsed="false" customFormat="false" customHeight="false" hidden="false" ht="15.6" outlineLevel="0" r="1">
      <c r="A1" s="2" t="s">
        <v>868</v>
      </c>
      <c r="M1" s="3" t="s">
        <v>869</v>
      </c>
      <c r="U1" s="2"/>
      <c r="V1" s="2"/>
    </row>
    <row collapsed="false" customFormat="false" customHeight="false" hidden="false" ht="15.6" outlineLevel="0" r="2">
      <c r="M2" s="2" t="s">
        <v>870</v>
      </c>
      <c r="U2" s="2"/>
      <c r="V2" s="2"/>
    </row>
    <row collapsed="false" customFormat="false" customHeight="false" hidden="false" ht="15.6" outlineLevel="0" r="3">
      <c r="A3" s="35"/>
      <c r="B3" s="4" t="s">
        <v>871</v>
      </c>
      <c r="M3" s="2" t="s">
        <v>872</v>
      </c>
    </row>
    <row collapsed="false" customFormat="false" customHeight="false" hidden="false" ht="15.6" outlineLevel="0" r="4">
      <c r="A4" s="35"/>
      <c r="B4" s="4" t="s">
        <v>873</v>
      </c>
      <c r="M4" s="36" t="s">
        <v>874</v>
      </c>
    </row>
    <row collapsed="false" customFormat="false" customHeight="false" hidden="false" ht="15.6" outlineLevel="0" r="5">
      <c r="A5" s="35"/>
      <c r="B5" s="4" t="s">
        <v>875</v>
      </c>
      <c r="M5" s="36"/>
    </row>
    <row collapsed="false" customFormat="false" customHeight="false" hidden="false" ht="15.6" outlineLevel="0" r="6">
      <c r="A6" s="37"/>
      <c r="B6" s="4" t="s">
        <v>876</v>
      </c>
    </row>
    <row collapsed="false" customFormat="false" customHeight="false" hidden="false" ht="15.6" outlineLevel="0" r="7">
      <c r="A7" s="35"/>
      <c r="B7" s="4" t="s">
        <v>877</v>
      </c>
    </row>
    <row collapsed="false" customFormat="false" customHeight="false" hidden="false" ht="15.6" outlineLevel="0" r="8">
      <c r="A8" s="35"/>
      <c r="B8" s="38" t="s">
        <v>878</v>
      </c>
    </row>
    <row collapsed="false" customFormat="false" customHeight="false" hidden="false" ht="15.6" outlineLevel="0" r="9">
      <c r="A9" s="35"/>
      <c r="B9" s="38" t="s">
        <v>879</v>
      </c>
    </row>
    <row collapsed="false" customFormat="false" customHeight="false" hidden="false" ht="15.6" outlineLevel="0" r="10">
      <c r="A10" s="35"/>
      <c r="B10" s="4"/>
      <c r="C10" s="2" t="s">
        <v>880</v>
      </c>
    </row>
    <row collapsed="false" customFormat="false" customHeight="false" hidden="false" ht="15.6" outlineLevel="0" r="11">
      <c r="A11" s="35"/>
      <c r="B11" s="38" t="s">
        <v>881</v>
      </c>
    </row>
    <row collapsed="false" customFormat="false" customHeight="false" hidden="false" ht="15.6" outlineLevel="0" r="12">
      <c r="A12" s="35"/>
      <c r="C12" s="4" t="s">
        <v>882</v>
      </c>
    </row>
    <row collapsed="false" customFormat="false" customHeight="false" hidden="false" ht="15.6" outlineLevel="0" r="13">
      <c r="A13" s="35"/>
      <c r="C13" s="4" t="s">
        <v>883</v>
      </c>
    </row>
    <row collapsed="false" customFormat="false" customHeight="false" hidden="false" ht="15.6" outlineLevel="0" r="14">
      <c r="A14" s="35"/>
      <c r="B14" s="4" t="s">
        <v>884</v>
      </c>
    </row>
    <row collapsed="false" customFormat="false" customHeight="false" hidden="false" ht="15.6" outlineLevel="0" r="15">
      <c r="A15" s="39"/>
      <c r="B15" s="4" t="s">
        <v>885</v>
      </c>
    </row>
    <row collapsed="false" customFormat="false" customHeight="false" hidden="false" ht="15.6" outlineLevel="0" r="16">
      <c r="A16" s="39"/>
      <c r="B16" s="4" t="s">
        <v>886</v>
      </c>
    </row>
    <row collapsed="false" customFormat="false" customHeight="false" hidden="false" ht="15.6" outlineLevel="0" r="17">
      <c r="A17" s="39"/>
      <c r="B17" s="4" t="s">
        <v>887</v>
      </c>
    </row>
    <row collapsed="false" customFormat="false" customHeight="false" hidden="false" ht="15.6" outlineLevel="0" r="18">
      <c r="A18" s="39"/>
      <c r="B18" s="4" t="s">
        <v>888</v>
      </c>
    </row>
    <row collapsed="false" customFormat="false" customHeight="false" hidden="false" ht="15.6" outlineLevel="0" r="19">
      <c r="A19" s="39"/>
      <c r="B19" s="4" t="s">
        <v>889</v>
      </c>
    </row>
    <row collapsed="false" customFormat="false" customHeight="false" hidden="false" ht="15.6" outlineLevel="0" r="20">
      <c r="A20" s="39"/>
      <c r="B20" s="4" t="s">
        <v>890</v>
      </c>
      <c r="M20" s="40" t="s">
        <v>891</v>
      </c>
      <c r="N20" s="41"/>
      <c r="O20" s="41"/>
      <c r="P20" s="41"/>
      <c r="Q20" s="41"/>
    </row>
    <row collapsed="false" customFormat="false" customHeight="false" hidden="false" ht="15.6" outlineLevel="0" r="21">
      <c r="A21" s="39"/>
      <c r="B21" s="4" t="s">
        <v>892</v>
      </c>
      <c r="M21" s="42" t="s">
        <v>893</v>
      </c>
      <c r="N21" s="41" t="s">
        <v>894</v>
      </c>
      <c r="O21" s="41"/>
      <c r="P21" s="41"/>
      <c r="Q21" s="41"/>
    </row>
    <row collapsed="false" customFormat="false" customHeight="false" hidden="false" ht="15.6" outlineLevel="0" r="22">
      <c r="A22" s="43"/>
      <c r="B22" s="4" t="s">
        <v>895</v>
      </c>
      <c r="M22" s="42" t="s">
        <v>896</v>
      </c>
      <c r="N22" s="41" t="s">
        <v>897</v>
      </c>
      <c r="O22" s="41"/>
      <c r="P22" s="41"/>
      <c r="Q22" s="41"/>
    </row>
    <row collapsed="false" customFormat="false" customHeight="false" hidden="false" ht="15.6" outlineLevel="0" r="23">
      <c r="A23" s="43"/>
      <c r="B23" s="4" t="s">
        <v>898</v>
      </c>
      <c r="M23" s="42" t="s">
        <v>899</v>
      </c>
      <c r="N23" s="41" t="s">
        <v>900</v>
      </c>
      <c r="O23" s="41"/>
      <c r="P23" s="41"/>
      <c r="Q23" s="41"/>
    </row>
    <row collapsed="false" customFormat="false" customHeight="false" hidden="false" ht="15.6" outlineLevel="0" r="24">
      <c r="A24" s="43"/>
      <c r="B24" s="4" t="s">
        <v>901</v>
      </c>
      <c r="M24" s="42" t="s">
        <v>902</v>
      </c>
      <c r="N24" s="41" t="s">
        <v>903</v>
      </c>
      <c r="O24" s="41"/>
      <c r="P24" s="41"/>
      <c r="Q24" s="41"/>
    </row>
    <row collapsed="false" customFormat="false" customHeight="false" hidden="false" ht="15.6" outlineLevel="0" r="25">
      <c r="A25" s="43"/>
      <c r="B25" s="4" t="s">
        <v>904</v>
      </c>
      <c r="M25" s="42" t="s">
        <v>905</v>
      </c>
      <c r="N25" s="41" t="s">
        <v>906</v>
      </c>
      <c r="O25" s="41"/>
      <c r="P25" s="41"/>
      <c r="Q25" s="41"/>
    </row>
    <row collapsed="false" customFormat="false" customHeight="false" hidden="false" ht="15.6" outlineLevel="0" r="26">
      <c r="A26" s="44"/>
      <c r="B26" s="4" t="s">
        <v>907</v>
      </c>
      <c r="L26" s="4"/>
      <c r="M26" s="42" t="s">
        <v>908</v>
      </c>
      <c r="N26" s="41" t="s">
        <v>909</v>
      </c>
      <c r="O26" s="41"/>
      <c r="P26" s="41"/>
      <c r="Q26" s="41"/>
    </row>
    <row collapsed="false" customFormat="true" customHeight="false" hidden="false" ht="15.6" outlineLevel="0" r="27" s="46">
      <c r="A27" s="45"/>
      <c r="B27" s="4" t="s">
        <v>910</v>
      </c>
      <c r="L27" s="4"/>
      <c r="M27" s="42" t="s">
        <v>911</v>
      </c>
      <c r="N27" s="41" t="s">
        <v>912</v>
      </c>
      <c r="O27" s="41"/>
      <c r="P27" s="41"/>
      <c r="Q27" s="41"/>
    </row>
    <row collapsed="false" customFormat="true" customHeight="false" hidden="false" ht="15.6" outlineLevel="0" r="28" s="46">
      <c r="A28" s="45"/>
      <c r="B28" s="4" t="s">
        <v>913</v>
      </c>
      <c r="L28" s="4"/>
      <c r="M28" s="42" t="s">
        <v>914</v>
      </c>
      <c r="N28" s="41" t="s">
        <v>915</v>
      </c>
      <c r="O28" s="41"/>
      <c r="P28" s="41"/>
      <c r="Q28" s="41"/>
    </row>
    <row collapsed="false" customFormat="true" customHeight="false" hidden="false" ht="15.6" outlineLevel="0" r="29" s="46">
      <c r="A29" s="45"/>
      <c r="B29" s="4" t="s">
        <v>916</v>
      </c>
      <c r="L29" s="4"/>
      <c r="M29" s="42" t="s">
        <v>917</v>
      </c>
      <c r="N29" s="41" t="s">
        <v>918</v>
      </c>
      <c r="O29" s="41"/>
      <c r="P29" s="41"/>
      <c r="Q29" s="41"/>
    </row>
    <row collapsed="false" customFormat="true" customHeight="false" hidden="false" ht="15.6" outlineLevel="0" r="30" s="46">
      <c r="A30" s="45"/>
      <c r="B30" s="4" t="s">
        <v>919</v>
      </c>
      <c r="L30" s="4"/>
      <c r="M30" s="42" t="s">
        <v>920</v>
      </c>
      <c r="N30" s="41" t="s">
        <v>921</v>
      </c>
      <c r="O30" s="41"/>
      <c r="P30" s="41"/>
      <c r="Q30" s="41"/>
    </row>
    <row collapsed="false" customFormat="true" customHeight="false" hidden="false" ht="15.6" outlineLevel="0" r="31" s="46">
      <c r="A31" s="45"/>
      <c r="B31" s="4" t="s">
        <v>922</v>
      </c>
      <c r="L31" s="4"/>
      <c r="M31" s="42" t="s">
        <v>923</v>
      </c>
      <c r="N31" s="41" t="s">
        <v>924</v>
      </c>
      <c r="O31" s="41"/>
      <c r="P31" s="41"/>
      <c r="Q31" s="41"/>
    </row>
    <row collapsed="false" customFormat="true" customHeight="false" hidden="false" ht="15.6" outlineLevel="0" r="32" s="46">
      <c r="A32" s="45"/>
      <c r="B32" s="4" t="s">
        <v>925</v>
      </c>
      <c r="L32" s="4"/>
      <c r="M32" s="42" t="s">
        <v>926</v>
      </c>
      <c r="N32" s="41" t="s">
        <v>927</v>
      </c>
      <c r="O32" s="41"/>
      <c r="P32" s="41"/>
      <c r="Q32" s="41"/>
    </row>
    <row collapsed="false" customFormat="true" customHeight="false" hidden="false" ht="15.6" outlineLevel="0" r="33" s="4">
      <c r="A33" s="47"/>
      <c r="B33" s="4" t="s">
        <v>928</v>
      </c>
      <c r="M33" s="42" t="s">
        <v>929</v>
      </c>
      <c r="N33" s="41" t="s">
        <v>930</v>
      </c>
      <c r="O33" s="41"/>
      <c r="P33" s="41"/>
      <c r="Q33" s="41"/>
    </row>
    <row collapsed="false" customFormat="true" customHeight="false" hidden="false" ht="15.6" outlineLevel="0" r="34" s="4">
      <c r="A34" s="47"/>
      <c r="B34" s="4" t="s">
        <v>931</v>
      </c>
      <c r="M34" s="42" t="s">
        <v>932</v>
      </c>
      <c r="N34" s="41" t="s">
        <v>933</v>
      </c>
      <c r="O34" s="41"/>
      <c r="P34" s="41"/>
      <c r="Q34" s="41"/>
    </row>
    <row collapsed="false" customFormat="false" customHeight="false" hidden="false" ht="15.6" outlineLevel="0" r="35">
      <c r="A35" s="44"/>
      <c r="B35" s="2" t="s">
        <v>934</v>
      </c>
      <c r="M35" s="42" t="s">
        <v>935</v>
      </c>
      <c r="N35" s="41" t="s">
        <v>936</v>
      </c>
      <c r="O35" s="41"/>
      <c r="P35" s="41"/>
      <c r="Q35" s="41"/>
    </row>
    <row collapsed="false" customFormat="false" customHeight="false" hidden="false" ht="15.6" outlineLevel="0" r="36">
      <c r="A36" s="48"/>
      <c r="B36" s="2" t="s">
        <v>937</v>
      </c>
      <c r="M36" s="42" t="s">
        <v>938</v>
      </c>
      <c r="N36" s="41" t="s">
        <v>939</v>
      </c>
      <c r="O36" s="41"/>
      <c r="P36" s="41"/>
      <c r="Q36" s="41"/>
    </row>
    <row collapsed="false" customFormat="false" customHeight="false" hidden="false" ht="15.6" outlineLevel="0" r="37">
      <c r="A37" s="48"/>
      <c r="B37" s="2" t="s">
        <v>940</v>
      </c>
      <c r="M37" s="42" t="s">
        <v>941</v>
      </c>
      <c r="N37" s="41" t="s">
        <v>942</v>
      </c>
      <c r="O37" s="41"/>
      <c r="P37" s="41"/>
      <c r="Q37" s="41"/>
    </row>
    <row collapsed="false" customFormat="false" customHeight="false" hidden="false" ht="15.6" outlineLevel="0" r="38">
      <c r="A38" s="48"/>
      <c r="B38" s="2" t="s">
        <v>943</v>
      </c>
      <c r="M38" s="42" t="s">
        <v>944</v>
      </c>
      <c r="N38" s="41" t="s">
        <v>945</v>
      </c>
      <c r="O38" s="41"/>
      <c r="P38" s="41"/>
      <c r="Q38" s="41"/>
    </row>
    <row collapsed="false" customFormat="false" customHeight="false" hidden="false" ht="15.6" outlineLevel="0" r="39">
      <c r="A39" s="48"/>
      <c r="B39" s="2" t="s">
        <v>946</v>
      </c>
      <c r="M39" s="41"/>
      <c r="N39" s="41"/>
      <c r="O39" s="41"/>
      <c r="P39" s="41"/>
      <c r="Q39" s="41"/>
    </row>
    <row collapsed="false" customFormat="false" customHeight="false" hidden="false" ht="15.6" outlineLevel="0" r="40">
      <c r="A40" s="48"/>
      <c r="B40" s="2" t="s">
        <v>947</v>
      </c>
      <c r="M40" s="41"/>
      <c r="N40" s="41"/>
      <c r="O40" s="41"/>
      <c r="P40" s="41"/>
      <c r="Q40" s="41"/>
    </row>
    <row collapsed="false" customFormat="false" customHeight="false" hidden="false" ht="15.6" outlineLevel="0" r="41">
      <c r="A41" s="49"/>
      <c r="B41" s="2" t="s">
        <v>948</v>
      </c>
      <c r="M41" s="41"/>
      <c r="N41" s="41"/>
      <c r="O41" s="41"/>
      <c r="P41" s="41"/>
      <c r="Q41" s="41"/>
    </row>
  </sheetData>
  <printOptions headings="false" gridLines="false" gridLinesSet="true" horizontalCentered="false" verticalCentered="false"/>
  <pageMargins left="0.25" right="0.25" top="0.75" bottom="0.75" header="0.511805555555555" footer="0.3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1" manualBreakCount="1">
    <brk id="2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77"/>
  <sheetViews>
    <sheetView colorId="64" defaultGridColor="true" rightToLeft="false" showFormulas="false" showGridLines="true" showOutlineSymbols="true" showRowColHeaders="true" showZeros="true" tabSelected="false" topLeftCell="A557" view="pageBreakPreview" windowProtection="false" workbookViewId="0" zoomScale="50" zoomScaleNormal="70" zoomScalePageLayoutView="50">
      <selection activeCell="A11" activeCellId="0" pane="topLeft" sqref="A11"/>
    </sheetView>
  </sheetViews>
  <sheetFormatPr defaultRowHeight="14.4"/>
  <cols>
    <col collapsed="false" hidden="false" max="1" min="1" style="0" width="6.66396761133603"/>
    <col collapsed="false" hidden="false" max="2" min="2" style="0" width="12.8906882591093"/>
    <col collapsed="false" hidden="false" max="3" min="3" style="0" width="32"/>
    <col collapsed="false" hidden="false" max="4" min="4" style="0" width="8.53441295546559"/>
    <col collapsed="false" hidden="false" max="5" min="5" style="0" width="15.8906882591093"/>
    <col collapsed="false" hidden="false" max="6" min="6" style="0" width="17.8906882591093"/>
    <col collapsed="false" hidden="false" max="7" min="7" style="0" width="14.1093117408907"/>
    <col collapsed="false" hidden="false" max="8" min="8" style="0" width="8.53441295546559"/>
    <col collapsed="false" hidden="false" max="9" min="9" style="0" width="11.8906882591093"/>
    <col collapsed="false" hidden="false" max="10" min="10" style="0" width="22.331983805668"/>
    <col collapsed="false" hidden="false" max="11" min="11" style="0" width="11.4412955465587"/>
    <col collapsed="false" hidden="false" max="12" min="12" style="0" width="11.1133603238866"/>
    <col collapsed="false" hidden="false" max="13" min="13" style="0" width="13.9959514170041"/>
    <col collapsed="false" hidden="false" max="14" min="14" style="0" width="11.8906882591093"/>
    <col collapsed="false" hidden="false" max="15" min="15" style="0" width="11.331983805668"/>
    <col collapsed="false" hidden="false" max="17" min="16" style="0" width="11.9959514170041"/>
    <col collapsed="false" hidden="false" max="18" min="18" style="0" width="10.5546558704453"/>
    <col collapsed="false" hidden="false" max="19" min="19" style="0" width="8.53441295546559"/>
    <col collapsed="false" hidden="false" max="20" min="20" style="0" width="14.8906882591093"/>
    <col collapsed="false" hidden="false" max="47" min="21" style="0" width="8.53441295546559"/>
    <col collapsed="false" hidden="false" max="48" min="48" style="0" width="10.6599190283401"/>
    <col collapsed="false" hidden="false" max="49" min="49" style="0" width="8.53441295546559"/>
    <col collapsed="false" hidden="false" max="50" min="50" style="0" width="11.6599190283401"/>
    <col collapsed="false" hidden="false" max="51" min="51" style="0" width="8.53441295546559"/>
    <col collapsed="false" hidden="false" max="52" min="52" style="0" width="13.5546558704453"/>
    <col collapsed="false" hidden="false" max="1025" min="53" style="0" width="8.53441295546559"/>
  </cols>
  <sheetData>
    <row collapsed="false" customFormat="false" customHeight="false" hidden="false" ht="14.4" outlineLevel="0" r="1">
      <c r="A1" s="50" t="s">
        <v>949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</row>
    <row collapsed="false" customFormat="false" customHeight="false" hidden="false" ht="17.4" outlineLevel="0" r="2">
      <c r="A2" s="50"/>
      <c r="B2" s="51"/>
      <c r="C2" s="52" t="s">
        <v>950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</row>
    <row collapsed="false" customFormat="false" customHeight="false" hidden="false" ht="17.4" outlineLevel="0" r="3">
      <c r="A3" s="52"/>
      <c r="B3" s="51"/>
      <c r="C3" s="52" t="s">
        <v>951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collapsed="false" customFormat="false" customHeight="false" hidden="false" ht="14.4" outlineLevel="0" r="4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collapsed="false" customFormat="false" customHeight="true" hidden="false" ht="15.6" outlineLevel="0" r="5">
      <c r="A5" s="5" t="s">
        <v>4</v>
      </c>
      <c r="B5" s="5" t="s">
        <v>952</v>
      </c>
      <c r="C5" s="53" t="s">
        <v>953</v>
      </c>
      <c r="D5" s="54" t="s">
        <v>954</v>
      </c>
      <c r="E5" s="54" t="s">
        <v>955</v>
      </c>
      <c r="F5" s="53" t="s">
        <v>956</v>
      </c>
      <c r="G5" s="53" t="s">
        <v>957</v>
      </c>
      <c r="H5" s="53" t="s">
        <v>958</v>
      </c>
      <c r="I5" s="55" t="s">
        <v>959</v>
      </c>
      <c r="J5" s="14" t="s">
        <v>960</v>
      </c>
      <c r="K5" s="14" t="s">
        <v>961</v>
      </c>
      <c r="L5" s="14" t="s">
        <v>962</v>
      </c>
      <c r="M5" s="14" t="s">
        <v>963</v>
      </c>
      <c r="N5" s="14" t="s">
        <v>964</v>
      </c>
      <c r="O5" s="14" t="s">
        <v>965</v>
      </c>
      <c r="P5" s="14" t="s">
        <v>966</v>
      </c>
      <c r="Q5" s="14" t="s">
        <v>967</v>
      </c>
      <c r="R5" s="14" t="s">
        <v>968</v>
      </c>
      <c r="S5" s="14" t="s">
        <v>969</v>
      </c>
      <c r="T5" s="14" t="s">
        <v>970</v>
      </c>
      <c r="U5" s="56" t="s">
        <v>971</v>
      </c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7" t="s">
        <v>972</v>
      </c>
      <c r="AW5" s="57" t="s">
        <v>973</v>
      </c>
      <c r="AX5" s="57" t="s">
        <v>974</v>
      </c>
      <c r="AY5" s="57" t="s">
        <v>975</v>
      </c>
      <c r="AZ5" s="57" t="s">
        <v>976</v>
      </c>
    </row>
    <row collapsed="false" customFormat="false" customHeight="true" hidden="false" ht="15.6" outlineLevel="0" r="6">
      <c r="A6" s="5"/>
      <c r="B6" s="5"/>
      <c r="C6" s="53"/>
      <c r="D6" s="54"/>
      <c r="E6" s="54"/>
      <c r="F6" s="53"/>
      <c r="G6" s="53"/>
      <c r="H6" s="53"/>
      <c r="I6" s="55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58" t="s">
        <v>977</v>
      </c>
      <c r="V6" s="58" t="s">
        <v>978</v>
      </c>
      <c r="W6" s="59" t="s">
        <v>979</v>
      </c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7"/>
      <c r="AW6" s="57"/>
      <c r="AX6" s="57"/>
      <c r="AY6" s="57"/>
      <c r="AZ6" s="57"/>
    </row>
    <row collapsed="false" customFormat="false" customHeight="true" hidden="false" ht="14.4" outlineLevel="0" r="7">
      <c r="A7" s="5"/>
      <c r="B7" s="5"/>
      <c r="C7" s="53"/>
      <c r="D7" s="54"/>
      <c r="E7" s="54"/>
      <c r="F7" s="53"/>
      <c r="G7" s="53"/>
      <c r="H7" s="53"/>
      <c r="I7" s="55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58"/>
      <c r="V7" s="58"/>
      <c r="W7" s="58" t="s">
        <v>980</v>
      </c>
      <c r="X7" s="58"/>
      <c r="Y7" s="58" t="s">
        <v>981</v>
      </c>
      <c r="Z7" s="58"/>
      <c r="AA7" s="58" t="s">
        <v>982</v>
      </c>
      <c r="AB7" s="58"/>
      <c r="AC7" s="58" t="s">
        <v>983</v>
      </c>
      <c r="AD7" s="58"/>
      <c r="AE7" s="58" t="s">
        <v>984</v>
      </c>
      <c r="AF7" s="58"/>
      <c r="AG7" s="58" t="s">
        <v>985</v>
      </c>
      <c r="AH7" s="58"/>
      <c r="AI7" s="58" t="s">
        <v>986</v>
      </c>
      <c r="AJ7" s="58"/>
      <c r="AK7" s="58" t="s">
        <v>987</v>
      </c>
      <c r="AL7" s="58"/>
      <c r="AM7" s="58" t="s">
        <v>988</v>
      </c>
      <c r="AN7" s="58"/>
      <c r="AO7" s="58" t="s">
        <v>989</v>
      </c>
      <c r="AP7" s="58"/>
      <c r="AQ7" s="58" t="s">
        <v>990</v>
      </c>
      <c r="AR7" s="58"/>
      <c r="AS7" s="58" t="s">
        <v>991</v>
      </c>
      <c r="AT7" s="58"/>
      <c r="AU7" s="58" t="s">
        <v>992</v>
      </c>
      <c r="AV7" s="57"/>
      <c r="AW7" s="57"/>
      <c r="AX7" s="57"/>
      <c r="AY7" s="57"/>
      <c r="AZ7" s="57"/>
    </row>
    <row collapsed="false" customFormat="false" customHeight="false" hidden="false" ht="14.4" outlineLevel="0" r="8">
      <c r="A8" s="5"/>
      <c r="B8" s="5"/>
      <c r="C8" s="53"/>
      <c r="D8" s="54"/>
      <c r="E8" s="54"/>
      <c r="F8" s="53"/>
      <c r="G8" s="53"/>
      <c r="H8" s="53"/>
      <c r="I8" s="55"/>
      <c r="J8" s="14"/>
      <c r="K8" s="14" t="s">
        <v>961</v>
      </c>
      <c r="L8" s="14" t="s">
        <v>962</v>
      </c>
      <c r="M8" s="14" t="s">
        <v>963</v>
      </c>
      <c r="N8" s="14" t="s">
        <v>964</v>
      </c>
      <c r="O8" s="14" t="s">
        <v>965</v>
      </c>
      <c r="P8" s="14" t="s">
        <v>966</v>
      </c>
      <c r="Q8" s="14" t="s">
        <v>967</v>
      </c>
      <c r="R8" s="14" t="s">
        <v>968</v>
      </c>
      <c r="S8" s="14" t="s">
        <v>969</v>
      </c>
      <c r="T8" s="14" t="s">
        <v>993</v>
      </c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7"/>
      <c r="AW8" s="57"/>
      <c r="AX8" s="57"/>
      <c r="AY8" s="57"/>
      <c r="AZ8" s="57"/>
    </row>
    <row collapsed="false" customFormat="false" customHeight="false" hidden="false" ht="46.8" outlineLevel="0" r="9">
      <c r="A9" s="5"/>
      <c r="B9" s="5"/>
      <c r="C9" s="53"/>
      <c r="D9" s="54"/>
      <c r="E9" s="54"/>
      <c r="F9" s="53"/>
      <c r="G9" s="53"/>
      <c r="H9" s="53"/>
      <c r="I9" s="5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60" t="s">
        <v>994</v>
      </c>
      <c r="V9" s="60" t="s">
        <v>994</v>
      </c>
      <c r="W9" s="58" t="s">
        <v>995</v>
      </c>
      <c r="X9" s="58" t="s">
        <v>996</v>
      </c>
      <c r="Y9" s="58" t="s">
        <v>995</v>
      </c>
      <c r="Z9" s="58" t="s">
        <v>996</v>
      </c>
      <c r="AA9" s="58" t="s">
        <v>995</v>
      </c>
      <c r="AB9" s="58" t="s">
        <v>996</v>
      </c>
      <c r="AC9" s="58" t="s">
        <v>995</v>
      </c>
      <c r="AD9" s="58" t="s">
        <v>996</v>
      </c>
      <c r="AE9" s="58" t="s">
        <v>995</v>
      </c>
      <c r="AF9" s="58" t="s">
        <v>996</v>
      </c>
      <c r="AG9" s="58" t="s">
        <v>995</v>
      </c>
      <c r="AH9" s="58" t="s">
        <v>996</v>
      </c>
      <c r="AI9" s="58" t="s">
        <v>995</v>
      </c>
      <c r="AJ9" s="58" t="s">
        <v>996</v>
      </c>
      <c r="AK9" s="58" t="s">
        <v>995</v>
      </c>
      <c r="AL9" s="58" t="s">
        <v>996</v>
      </c>
      <c r="AM9" s="58" t="s">
        <v>995</v>
      </c>
      <c r="AN9" s="58" t="s">
        <v>996</v>
      </c>
      <c r="AO9" s="58" t="s">
        <v>995</v>
      </c>
      <c r="AP9" s="58" t="s">
        <v>996</v>
      </c>
      <c r="AQ9" s="58" t="s">
        <v>995</v>
      </c>
      <c r="AR9" s="58" t="s">
        <v>996</v>
      </c>
      <c r="AS9" s="58" t="s">
        <v>995</v>
      </c>
      <c r="AT9" s="58" t="s">
        <v>996</v>
      </c>
      <c r="AU9" s="60" t="s">
        <v>997</v>
      </c>
      <c r="AV9" s="57"/>
      <c r="AW9" s="57"/>
      <c r="AX9" s="57"/>
      <c r="AY9" s="57"/>
      <c r="AZ9" s="57"/>
    </row>
    <row collapsed="false" customFormat="false" customHeight="false" hidden="false" ht="15.6" outlineLevel="0" r="10">
      <c r="A10" s="61" t="n">
        <v>1</v>
      </c>
      <c r="B10" s="61" t="n">
        <v>2</v>
      </c>
      <c r="C10" s="62" t="n">
        <v>3</v>
      </c>
      <c r="D10" s="62" t="n">
        <v>4</v>
      </c>
      <c r="E10" s="62" t="n">
        <v>5</v>
      </c>
      <c r="F10" s="62" t="n">
        <v>6</v>
      </c>
      <c r="G10" s="62" t="n">
        <v>7</v>
      </c>
      <c r="H10" s="62" t="n">
        <v>8</v>
      </c>
      <c r="I10" s="63" t="n">
        <v>9</v>
      </c>
      <c r="J10" s="14" t="n">
        <v>10</v>
      </c>
      <c r="K10" s="14" t="n">
        <v>11</v>
      </c>
      <c r="L10" s="14" t="n">
        <v>12</v>
      </c>
      <c r="M10" s="14" t="n">
        <v>13</v>
      </c>
      <c r="N10" s="14" t="n">
        <v>14</v>
      </c>
      <c r="O10" s="14" t="n">
        <v>15</v>
      </c>
      <c r="P10" s="14" t="n">
        <v>16</v>
      </c>
      <c r="Q10" s="14" t="n">
        <v>17</v>
      </c>
      <c r="R10" s="14" t="n">
        <v>18</v>
      </c>
      <c r="S10" s="14" t="n">
        <v>19</v>
      </c>
      <c r="T10" s="14" t="n">
        <v>20</v>
      </c>
      <c r="U10" s="64" t="n">
        <v>21</v>
      </c>
      <c r="V10" s="64" t="n">
        <v>22</v>
      </c>
      <c r="W10" s="64" t="n">
        <v>23</v>
      </c>
      <c r="X10" s="64" t="n">
        <v>24</v>
      </c>
      <c r="Y10" s="64" t="n">
        <v>25</v>
      </c>
      <c r="Z10" s="64" t="n">
        <v>26</v>
      </c>
      <c r="AA10" s="64" t="n">
        <v>27</v>
      </c>
      <c r="AB10" s="64" t="n">
        <v>28</v>
      </c>
      <c r="AC10" s="64" t="n">
        <v>29</v>
      </c>
      <c r="AD10" s="64" t="n">
        <v>30</v>
      </c>
      <c r="AE10" s="64" t="n">
        <v>31</v>
      </c>
      <c r="AF10" s="64" t="n">
        <v>32</v>
      </c>
      <c r="AG10" s="64" t="n">
        <v>33</v>
      </c>
      <c r="AH10" s="64" t="n">
        <v>34</v>
      </c>
      <c r="AI10" s="64" t="n">
        <v>35</v>
      </c>
      <c r="AJ10" s="64" t="n">
        <v>36</v>
      </c>
      <c r="AK10" s="64" t="n">
        <v>37</v>
      </c>
      <c r="AL10" s="64" t="n">
        <v>38</v>
      </c>
      <c r="AM10" s="64" t="n">
        <v>39</v>
      </c>
      <c r="AN10" s="64" t="n">
        <v>40</v>
      </c>
      <c r="AO10" s="64" t="n">
        <v>41</v>
      </c>
      <c r="AP10" s="64" t="n">
        <v>42</v>
      </c>
      <c r="AQ10" s="64" t="n">
        <v>43</v>
      </c>
      <c r="AR10" s="64" t="n">
        <v>44</v>
      </c>
      <c r="AS10" s="64" t="n">
        <v>45</v>
      </c>
      <c r="AT10" s="64" t="n">
        <v>46</v>
      </c>
      <c r="AU10" s="64" t="n">
        <v>47</v>
      </c>
      <c r="AV10" s="65" t="n">
        <v>48</v>
      </c>
      <c r="AW10" s="65" t="n">
        <v>49</v>
      </c>
      <c r="AX10" s="65" t="n">
        <v>50</v>
      </c>
      <c r="AY10" s="65" t="n">
        <v>51</v>
      </c>
      <c r="AZ10" s="65" t="n">
        <v>52</v>
      </c>
    </row>
    <row collapsed="false" customFormat="true" customHeight="true" hidden="false" ht="33" outlineLevel="0" r="11" s="73">
      <c r="A11" s="66" t="n">
        <v>1</v>
      </c>
      <c r="B11" s="67" t="s">
        <v>48</v>
      </c>
      <c r="C11" s="68" t="s">
        <v>998</v>
      </c>
      <c r="D11" s="68" t="s">
        <v>999</v>
      </c>
      <c r="E11" s="68" t="s">
        <v>1000</v>
      </c>
      <c r="F11" s="69" t="s">
        <v>1001</v>
      </c>
      <c r="G11" s="69" t="s">
        <v>1002</v>
      </c>
      <c r="H11" s="67" t="s">
        <v>1003</v>
      </c>
      <c r="I11" s="68" t="n">
        <v>1</v>
      </c>
      <c r="J11" s="68"/>
      <c r="K11" s="67" t="n">
        <v>80</v>
      </c>
      <c r="L11" s="67" t="n">
        <v>5.5</v>
      </c>
      <c r="M11" s="69" t="s">
        <v>1004</v>
      </c>
      <c r="N11" s="67" t="s">
        <v>54</v>
      </c>
      <c r="O11" s="67"/>
      <c r="P11" s="67"/>
      <c r="Q11" s="70"/>
      <c r="R11" s="67"/>
      <c r="S11" s="67"/>
      <c r="T11" s="67"/>
      <c r="U11" s="67" t="n">
        <v>626.8</v>
      </c>
      <c r="V11" s="67" t="n">
        <v>736.93</v>
      </c>
      <c r="W11" s="71" t="n">
        <v>69.87</v>
      </c>
      <c r="X11" s="68" t="s">
        <v>1005</v>
      </c>
      <c r="Y11" s="68" t="n">
        <v>82.33</v>
      </c>
      <c r="Z11" s="68" t="s">
        <v>1005</v>
      </c>
      <c r="AA11" s="68" t="n">
        <v>128.04</v>
      </c>
      <c r="AB11" s="68" t="s">
        <v>1005</v>
      </c>
      <c r="AC11" s="68" t="n">
        <v>40.81</v>
      </c>
      <c r="AD11" s="68" t="s">
        <v>1005</v>
      </c>
      <c r="AE11" s="68" t="n">
        <v>20.28</v>
      </c>
      <c r="AF11" s="68" t="s">
        <v>1005</v>
      </c>
      <c r="AG11" s="68" t="n">
        <v>0</v>
      </c>
      <c r="AH11" s="68" t="s">
        <v>1006</v>
      </c>
      <c r="AI11" s="68" t="n">
        <v>0</v>
      </c>
      <c r="AJ11" s="68" t="s">
        <v>1006</v>
      </c>
      <c r="AK11" s="68" t="n">
        <v>0</v>
      </c>
      <c r="AL11" s="68" t="s">
        <v>1006</v>
      </c>
      <c r="AM11" s="68" t="n">
        <v>0</v>
      </c>
      <c r="AN11" s="68" t="s">
        <v>1006</v>
      </c>
      <c r="AO11" s="72" t="n">
        <v>34.02</v>
      </c>
      <c r="AP11" s="68" t="s">
        <v>1005</v>
      </c>
      <c r="AQ11" s="68" t="n">
        <v>51.99</v>
      </c>
      <c r="AR11" s="68" t="s">
        <v>1005</v>
      </c>
      <c r="AS11" s="68" t="n">
        <v>76.1</v>
      </c>
      <c r="AT11" s="68" t="s">
        <v>1005</v>
      </c>
      <c r="AU11" s="71" t="n">
        <f aca="false">W11+Y11+AA11+AC11+AE11+AG11+AI11+AK11+AM11+AO11+AQ11+AS11</f>
        <v>503.44</v>
      </c>
      <c r="AV11" s="68" t="n">
        <v>0.21174</v>
      </c>
      <c r="AW11" s="68" t="s">
        <v>1007</v>
      </c>
      <c r="AX11" s="68" t="s">
        <v>1008</v>
      </c>
      <c r="AY11" s="68" t="n">
        <v>0</v>
      </c>
      <c r="AZ11" s="68"/>
    </row>
    <row collapsed="false" customFormat="true" customHeight="true" hidden="false" ht="33" outlineLevel="0" r="12" s="73">
      <c r="A12" s="30" t="n">
        <v>2</v>
      </c>
      <c r="B12" s="30" t="s">
        <v>55</v>
      </c>
      <c r="C12" s="30" t="s">
        <v>1009</v>
      </c>
      <c r="D12" s="30" t="s">
        <v>999</v>
      </c>
      <c r="E12" s="30" t="s">
        <v>1000</v>
      </c>
      <c r="F12" s="30" t="s">
        <v>1001</v>
      </c>
      <c r="G12" s="30" t="s">
        <v>1002</v>
      </c>
      <c r="H12" s="30" t="s">
        <v>1003</v>
      </c>
      <c r="I12" s="30" t="n">
        <v>0</v>
      </c>
      <c r="J12" s="30"/>
      <c r="K12" s="30" t="n">
        <v>50</v>
      </c>
      <c r="L12" s="30" t="n">
        <v>5.5</v>
      </c>
      <c r="M12" s="30" t="s">
        <v>1004</v>
      </c>
      <c r="N12" s="30" t="s">
        <v>54</v>
      </c>
      <c r="O12" s="30"/>
      <c r="P12" s="30"/>
      <c r="Q12" s="30"/>
      <c r="R12" s="30"/>
      <c r="S12" s="30"/>
      <c r="T12" s="30"/>
      <c r="U12" s="30" t="n">
        <v>115.11</v>
      </c>
      <c r="V12" s="30" t="n">
        <v>204.84</v>
      </c>
      <c r="W12" s="30" t="n">
        <v>21.99</v>
      </c>
      <c r="X12" s="30" t="s">
        <v>1006</v>
      </c>
      <c r="Y12" s="30" t="n">
        <v>21.99</v>
      </c>
      <c r="Z12" s="30" t="s">
        <v>1005</v>
      </c>
      <c r="AA12" s="30" t="n">
        <v>21.99</v>
      </c>
      <c r="AB12" s="30" t="s">
        <v>1005</v>
      </c>
      <c r="AC12" s="30" t="n">
        <v>21.99</v>
      </c>
      <c r="AD12" s="30" t="s">
        <v>1005</v>
      </c>
      <c r="AE12" s="30" t="n">
        <v>6.38</v>
      </c>
      <c r="AF12" s="30" t="s">
        <v>1005</v>
      </c>
      <c r="AG12" s="30" t="n">
        <v>0</v>
      </c>
      <c r="AH12" s="30" t="s">
        <v>1006</v>
      </c>
      <c r="AI12" s="30" t="n">
        <v>0</v>
      </c>
      <c r="AJ12" s="30" t="s">
        <v>1006</v>
      </c>
      <c r="AK12" s="30" t="n">
        <v>0</v>
      </c>
      <c r="AL12" s="30" t="s">
        <v>1006</v>
      </c>
      <c r="AM12" s="30" t="n">
        <v>4.79</v>
      </c>
      <c r="AN12" s="30" t="s">
        <v>1006</v>
      </c>
      <c r="AO12" s="30" t="n">
        <v>23.93</v>
      </c>
      <c r="AP12" s="30" t="s">
        <v>1006</v>
      </c>
      <c r="AQ12" s="30" t="n">
        <v>23.93</v>
      </c>
      <c r="AR12" s="30" t="s">
        <v>1006</v>
      </c>
      <c r="AS12" s="30" t="n">
        <v>23.94</v>
      </c>
      <c r="AT12" s="30" t="s">
        <v>1006</v>
      </c>
      <c r="AU12" s="30" t="n">
        <v>170.93</v>
      </c>
      <c r="AV12" s="30" t="n">
        <v>0.6282</v>
      </c>
      <c r="AW12" s="30" t="s">
        <v>1007</v>
      </c>
      <c r="AX12" s="30" t="s">
        <v>1008</v>
      </c>
      <c r="AY12" s="30" t="n">
        <v>0</v>
      </c>
      <c r="AZ12" s="30"/>
    </row>
    <row collapsed="false" customFormat="true" customHeight="true" hidden="false" ht="33" outlineLevel="0" r="13" s="73">
      <c r="A13" s="30" t="n">
        <v>3</v>
      </c>
      <c r="B13" s="30" t="s">
        <v>61</v>
      </c>
      <c r="C13" s="30" t="s">
        <v>1009</v>
      </c>
      <c r="D13" s="30" t="s">
        <v>999</v>
      </c>
      <c r="E13" s="30" t="s">
        <v>1010</v>
      </c>
      <c r="F13" s="30" t="s">
        <v>1011</v>
      </c>
      <c r="G13" s="30" t="s">
        <v>1002</v>
      </c>
      <c r="H13" s="30" t="s">
        <v>1003</v>
      </c>
      <c r="I13" s="30" t="n">
        <v>0</v>
      </c>
      <c r="J13" s="30"/>
      <c r="K13" s="30" t="n">
        <v>57</v>
      </c>
      <c r="L13" s="30"/>
      <c r="M13" s="30" t="s">
        <v>1012</v>
      </c>
      <c r="N13" s="30" t="s">
        <v>54</v>
      </c>
      <c r="O13" s="30"/>
      <c r="P13" s="30"/>
      <c r="Q13" s="30"/>
      <c r="R13" s="30"/>
      <c r="S13" s="30"/>
      <c r="T13" s="30"/>
      <c r="U13" s="30"/>
      <c r="V13" s="30"/>
      <c r="W13" s="30"/>
      <c r="X13" s="30" t="s">
        <v>1006</v>
      </c>
      <c r="Y13" s="30"/>
      <c r="Z13" s="30" t="s">
        <v>1006</v>
      </c>
      <c r="AA13" s="30"/>
      <c r="AB13" s="30" t="s">
        <v>1006</v>
      </c>
      <c r="AC13" s="30"/>
      <c r="AD13" s="30" t="s">
        <v>1006</v>
      </c>
      <c r="AE13" s="30" t="n">
        <v>0</v>
      </c>
      <c r="AF13" s="30" t="s">
        <v>1006</v>
      </c>
      <c r="AG13" s="30" t="n">
        <v>0</v>
      </c>
      <c r="AH13" s="30" t="s">
        <v>1006</v>
      </c>
      <c r="AI13" s="30" t="n">
        <v>0</v>
      </c>
      <c r="AJ13" s="30" t="s">
        <v>1006</v>
      </c>
      <c r="AK13" s="30" t="n">
        <v>0</v>
      </c>
      <c r="AL13" s="30" t="s">
        <v>1006</v>
      </c>
      <c r="AM13" s="30" t="n">
        <v>0</v>
      </c>
      <c r="AN13" s="30" t="s">
        <v>1006</v>
      </c>
      <c r="AO13" s="30"/>
      <c r="AP13" s="30" t="s">
        <v>1006</v>
      </c>
      <c r="AQ13" s="30"/>
      <c r="AR13" s="30" t="s">
        <v>1006</v>
      </c>
      <c r="AS13" s="30"/>
      <c r="AT13" s="30" t="s">
        <v>1006</v>
      </c>
      <c r="AU13" s="30"/>
      <c r="AV13" s="30"/>
      <c r="AW13" s="30" t="s">
        <v>1013</v>
      </c>
      <c r="AX13" s="30" t="s">
        <v>1008</v>
      </c>
      <c r="AY13" s="30"/>
      <c r="AZ13" s="30"/>
    </row>
    <row collapsed="false" customFormat="true" customHeight="true" hidden="false" ht="33" outlineLevel="0" r="14" s="73">
      <c r="A14" s="30" t="n">
        <v>5</v>
      </c>
      <c r="B14" s="30" t="s">
        <v>63</v>
      </c>
      <c r="C14" s="30" t="s">
        <v>1009</v>
      </c>
      <c r="D14" s="30" t="s">
        <v>999</v>
      </c>
      <c r="E14" s="30" t="s">
        <v>1010</v>
      </c>
      <c r="F14" s="30" t="s">
        <v>1011</v>
      </c>
      <c r="G14" s="30" t="s">
        <v>1002</v>
      </c>
      <c r="H14" s="30" t="s">
        <v>1003</v>
      </c>
      <c r="I14" s="30" t="n">
        <v>1</v>
      </c>
      <c r="J14" s="30"/>
      <c r="K14" s="30" t="n">
        <v>57</v>
      </c>
      <c r="L14" s="30"/>
      <c r="M14" s="30" t="s">
        <v>1012</v>
      </c>
      <c r="N14" s="30" t="s">
        <v>54</v>
      </c>
      <c r="O14" s="30"/>
      <c r="P14" s="30"/>
      <c r="Q14" s="30"/>
      <c r="R14" s="30"/>
      <c r="S14" s="30"/>
      <c r="T14" s="30"/>
      <c r="U14" s="30" t="n">
        <v>371.6</v>
      </c>
      <c r="V14" s="30" t="n">
        <v>405.53</v>
      </c>
      <c r="W14" s="30" t="n">
        <v>49.27</v>
      </c>
      <c r="X14" s="30" t="s">
        <v>1005</v>
      </c>
      <c r="Y14" s="30" t="n">
        <v>39.5</v>
      </c>
      <c r="Z14" s="30" t="s">
        <v>1006</v>
      </c>
      <c r="AA14" s="30" t="n">
        <v>39.5</v>
      </c>
      <c r="AB14" s="30" t="s">
        <v>1006</v>
      </c>
      <c r="AC14" s="30" t="n">
        <v>39.5</v>
      </c>
      <c r="AD14" s="30" t="s">
        <v>1006</v>
      </c>
      <c r="AE14" s="30" t="n">
        <v>11.47</v>
      </c>
      <c r="AF14" s="30" t="s">
        <v>1006</v>
      </c>
      <c r="AG14" s="30" t="n">
        <v>0</v>
      </c>
      <c r="AH14" s="30" t="s">
        <v>1006</v>
      </c>
      <c r="AI14" s="30" t="n">
        <v>0</v>
      </c>
      <c r="AJ14" s="30" t="s">
        <v>1006</v>
      </c>
      <c r="AK14" s="30" t="n">
        <v>0</v>
      </c>
      <c r="AL14" s="30" t="s">
        <v>1006</v>
      </c>
      <c r="AM14" s="30" t="n">
        <v>0</v>
      </c>
      <c r="AN14" s="30" t="s">
        <v>1006</v>
      </c>
      <c r="AO14" s="30" t="n">
        <v>29.68</v>
      </c>
      <c r="AP14" s="30" t="s">
        <v>1005</v>
      </c>
      <c r="AQ14" s="30" t="n">
        <v>34.2</v>
      </c>
      <c r="AR14" s="30" t="s">
        <v>1005</v>
      </c>
      <c r="AS14" s="30" t="n">
        <v>41.07</v>
      </c>
      <c r="AT14" s="30" t="s">
        <v>1005</v>
      </c>
      <c r="AU14" s="30" t="n">
        <v>284.19</v>
      </c>
      <c r="AV14" s="30" t="n">
        <v>0.12</v>
      </c>
      <c r="AW14" s="30" t="s">
        <v>1013</v>
      </c>
      <c r="AX14" s="30" t="s">
        <v>1008</v>
      </c>
      <c r="AY14" s="30" t="n">
        <v>1</v>
      </c>
      <c r="AZ14" s="30"/>
    </row>
    <row collapsed="false" customFormat="true" customHeight="true" hidden="false" ht="33" outlineLevel="0" r="15" s="73">
      <c r="A15" s="30" t="n">
        <v>6</v>
      </c>
      <c r="B15" s="30" t="s">
        <v>66</v>
      </c>
      <c r="C15" s="30" t="s">
        <v>1009</v>
      </c>
      <c r="D15" s="30" t="s">
        <v>999</v>
      </c>
      <c r="E15" s="30" t="s">
        <v>1010</v>
      </c>
      <c r="F15" s="30" t="s">
        <v>1011</v>
      </c>
      <c r="G15" s="30" t="s">
        <v>1002</v>
      </c>
      <c r="H15" s="30" t="s">
        <v>1003</v>
      </c>
      <c r="I15" s="30" t="n">
        <v>1</v>
      </c>
      <c r="J15" s="30"/>
      <c r="K15" s="30" t="n">
        <v>57</v>
      </c>
      <c r="L15" s="30"/>
      <c r="M15" s="30" t="s">
        <v>1012</v>
      </c>
      <c r="N15" s="30" t="s">
        <v>54</v>
      </c>
      <c r="O15" s="30"/>
      <c r="P15" s="30"/>
      <c r="Q15" s="30"/>
      <c r="R15" s="30"/>
      <c r="S15" s="30"/>
      <c r="T15" s="30"/>
      <c r="U15" s="30" t="n">
        <v>320.8</v>
      </c>
      <c r="V15" s="30" t="n">
        <v>345.96</v>
      </c>
      <c r="W15" s="30" t="n">
        <v>34.25</v>
      </c>
      <c r="X15" s="30" t="s">
        <v>1006</v>
      </c>
      <c r="Y15" s="30" t="n">
        <v>33.65</v>
      </c>
      <c r="Z15" s="30" t="s">
        <v>1006</v>
      </c>
      <c r="AA15" s="30" t="n">
        <v>33.65</v>
      </c>
      <c r="AB15" s="30" t="s">
        <v>1006</v>
      </c>
      <c r="AC15" s="30" t="n">
        <v>24.18</v>
      </c>
      <c r="AD15" s="30" t="s">
        <v>1005</v>
      </c>
      <c r="AE15" s="30" t="n">
        <v>6.54</v>
      </c>
      <c r="AF15" s="30" t="s">
        <v>1005</v>
      </c>
      <c r="AG15" s="30" t="n">
        <v>0</v>
      </c>
      <c r="AH15" s="30" t="s">
        <v>1005</v>
      </c>
      <c r="AI15" s="30" t="n">
        <v>0</v>
      </c>
      <c r="AJ15" s="30" t="s">
        <v>1005</v>
      </c>
      <c r="AK15" s="30" t="n">
        <v>0</v>
      </c>
      <c r="AL15" s="30" t="s">
        <v>1005</v>
      </c>
      <c r="AM15" s="30" t="n">
        <v>0</v>
      </c>
      <c r="AN15" s="30" t="s">
        <v>1005</v>
      </c>
      <c r="AO15" s="30" t="n">
        <v>25.76</v>
      </c>
      <c r="AP15" s="30" t="s">
        <v>1005</v>
      </c>
      <c r="AQ15" s="30" t="n">
        <v>29.58</v>
      </c>
      <c r="AR15" s="30" t="s">
        <v>1005</v>
      </c>
      <c r="AS15" s="30" t="n">
        <v>36.11</v>
      </c>
      <c r="AT15" s="30" t="s">
        <v>1005</v>
      </c>
      <c r="AU15" s="30" t="n">
        <v>223.72</v>
      </c>
      <c r="AV15" s="30" t="n">
        <v>0.13982</v>
      </c>
      <c r="AW15" s="30" t="s">
        <v>1013</v>
      </c>
      <c r="AX15" s="30" t="s">
        <v>1008</v>
      </c>
      <c r="AY15" s="30" t="n">
        <v>1</v>
      </c>
      <c r="AZ15" s="30"/>
    </row>
    <row collapsed="false" customFormat="true" customHeight="true" hidden="false" ht="33" outlineLevel="0" r="16" s="73">
      <c r="A16" s="30" t="n">
        <v>7</v>
      </c>
      <c r="B16" s="30" t="s">
        <v>68</v>
      </c>
      <c r="C16" s="30" t="s">
        <v>1009</v>
      </c>
      <c r="D16" s="30" t="s">
        <v>999</v>
      </c>
      <c r="E16" s="30" t="s">
        <v>1010</v>
      </c>
      <c r="F16" s="30" t="s">
        <v>1011</v>
      </c>
      <c r="G16" s="30" t="s">
        <v>1002</v>
      </c>
      <c r="H16" s="30" t="s">
        <v>1003</v>
      </c>
      <c r="I16" s="30" t="n">
        <v>1</v>
      </c>
      <c r="J16" s="30"/>
      <c r="K16" s="30" t="n">
        <v>57</v>
      </c>
      <c r="L16" s="30"/>
      <c r="M16" s="30" t="s">
        <v>1012</v>
      </c>
      <c r="N16" s="30" t="s">
        <v>54</v>
      </c>
      <c r="O16" s="30"/>
      <c r="P16" s="30"/>
      <c r="Q16" s="30"/>
      <c r="R16" s="30"/>
      <c r="S16" s="30"/>
      <c r="T16" s="30"/>
      <c r="U16" s="30" t="n">
        <v>274.64</v>
      </c>
      <c r="V16" s="30" t="n">
        <v>437.63</v>
      </c>
      <c r="W16" s="30" t="n">
        <v>35.68</v>
      </c>
      <c r="X16" s="30" t="s">
        <v>1006</v>
      </c>
      <c r="Y16" s="30" t="n">
        <v>44.34</v>
      </c>
      <c r="Z16" s="30" t="s">
        <v>1005</v>
      </c>
      <c r="AA16" s="30" t="n">
        <v>68.59</v>
      </c>
      <c r="AB16" s="30" t="s">
        <v>1005</v>
      </c>
      <c r="AC16" s="30" t="n">
        <v>29.8</v>
      </c>
      <c r="AD16" s="30" t="s">
        <v>1005</v>
      </c>
      <c r="AE16" s="30" t="n">
        <v>13.68</v>
      </c>
      <c r="AF16" s="30" t="s">
        <v>1005</v>
      </c>
      <c r="AG16" s="30" t="n">
        <v>0</v>
      </c>
      <c r="AH16" s="30" t="s">
        <v>1005</v>
      </c>
      <c r="AI16" s="30" t="n">
        <v>0</v>
      </c>
      <c r="AJ16" s="30" t="s">
        <v>1005</v>
      </c>
      <c r="AK16" s="30" t="n">
        <v>0</v>
      </c>
      <c r="AL16" s="30" t="s">
        <v>1005</v>
      </c>
      <c r="AM16" s="30" t="n">
        <v>0</v>
      </c>
      <c r="AN16" s="30" t="s">
        <v>1005</v>
      </c>
      <c r="AO16" s="30" t="n">
        <v>32.41</v>
      </c>
      <c r="AP16" s="30" t="s">
        <v>1005</v>
      </c>
      <c r="AQ16" s="30" t="n">
        <v>36.56</v>
      </c>
      <c r="AR16" s="30" t="s">
        <v>1005</v>
      </c>
      <c r="AS16" s="30" t="n">
        <v>31.01</v>
      </c>
      <c r="AT16" s="30" t="s">
        <v>1005</v>
      </c>
      <c r="AU16" s="30" t="n">
        <v>292.07</v>
      </c>
      <c r="AV16" s="30" t="n">
        <v>0.14732</v>
      </c>
      <c r="AW16" s="30" t="s">
        <v>1013</v>
      </c>
      <c r="AX16" s="30" t="s">
        <v>1008</v>
      </c>
      <c r="AY16" s="30" t="n">
        <v>1</v>
      </c>
      <c r="AZ16" s="30"/>
    </row>
    <row collapsed="false" customFormat="true" customHeight="true" hidden="false" ht="33" outlineLevel="0" r="17" s="73">
      <c r="A17" s="30" t="n">
        <v>8</v>
      </c>
      <c r="B17" s="30" t="s">
        <v>70</v>
      </c>
      <c r="C17" s="30" t="s">
        <v>1009</v>
      </c>
      <c r="D17" s="30" t="s">
        <v>999</v>
      </c>
      <c r="E17" s="30" t="s">
        <v>1010</v>
      </c>
      <c r="F17" s="30" t="s">
        <v>1011</v>
      </c>
      <c r="G17" s="30" t="s">
        <v>1002</v>
      </c>
      <c r="H17" s="30" t="s">
        <v>1003</v>
      </c>
      <c r="I17" s="30" t="n">
        <v>1</v>
      </c>
      <c r="J17" s="30"/>
      <c r="K17" s="30" t="n">
        <v>57</v>
      </c>
      <c r="L17" s="30"/>
      <c r="M17" s="30" t="s">
        <v>1012</v>
      </c>
      <c r="N17" s="30" t="s">
        <v>54</v>
      </c>
      <c r="O17" s="30"/>
      <c r="P17" s="30"/>
      <c r="Q17" s="30"/>
      <c r="R17" s="30"/>
      <c r="S17" s="30"/>
      <c r="T17" s="30"/>
      <c r="U17" s="30" t="n">
        <v>178.76</v>
      </c>
      <c r="V17" s="30" t="n">
        <v>297.54</v>
      </c>
      <c r="W17" s="30" t="n">
        <v>22.41</v>
      </c>
      <c r="X17" s="30" t="s">
        <v>1006</v>
      </c>
      <c r="Y17" s="30" t="n">
        <v>33.47</v>
      </c>
      <c r="Z17" s="30" t="s">
        <v>1005</v>
      </c>
      <c r="AA17" s="30" t="n">
        <v>49.29</v>
      </c>
      <c r="AB17" s="30" t="s">
        <v>1005</v>
      </c>
      <c r="AC17" s="30" t="n">
        <v>16.02</v>
      </c>
      <c r="AD17" s="30" t="s">
        <v>1005</v>
      </c>
      <c r="AE17" s="30" t="n">
        <v>8.15</v>
      </c>
      <c r="AF17" s="30" t="s">
        <v>1005</v>
      </c>
      <c r="AG17" s="30" t="n">
        <v>0</v>
      </c>
      <c r="AH17" s="30" t="s">
        <v>1005</v>
      </c>
      <c r="AI17" s="30" t="n">
        <v>0</v>
      </c>
      <c r="AJ17" s="30" t="s">
        <v>1005</v>
      </c>
      <c r="AK17" s="30" t="n">
        <v>0</v>
      </c>
      <c r="AL17" s="30" t="s">
        <v>1005</v>
      </c>
      <c r="AM17" s="30" t="n">
        <v>0</v>
      </c>
      <c r="AN17" s="30" t="s">
        <v>1005</v>
      </c>
      <c r="AO17" s="30" t="n">
        <v>24.52</v>
      </c>
      <c r="AP17" s="30" t="s">
        <v>1005</v>
      </c>
      <c r="AQ17" s="30" t="n">
        <v>17.39</v>
      </c>
      <c r="AR17" s="30" t="s">
        <v>1005</v>
      </c>
      <c r="AS17" s="30" t="n">
        <v>26.88</v>
      </c>
      <c r="AT17" s="30" t="s">
        <v>1005</v>
      </c>
      <c r="AU17" s="30" t="n">
        <v>198.13</v>
      </c>
      <c r="AV17" s="30" t="n">
        <v>0.10427</v>
      </c>
      <c r="AW17" s="30" t="s">
        <v>1013</v>
      </c>
      <c r="AX17" s="30" t="s">
        <v>1008</v>
      </c>
      <c r="AY17" s="30" t="n">
        <v>1</v>
      </c>
      <c r="AZ17" s="30"/>
    </row>
    <row collapsed="false" customFormat="true" customHeight="true" hidden="false" ht="33" outlineLevel="0" r="18" s="73">
      <c r="A18" s="30" t="n">
        <v>9</v>
      </c>
      <c r="B18" s="30" t="s">
        <v>71</v>
      </c>
      <c r="C18" s="30" t="s">
        <v>1009</v>
      </c>
      <c r="D18" s="30" t="s">
        <v>999</v>
      </c>
      <c r="E18" s="30" t="s">
        <v>1010</v>
      </c>
      <c r="F18" s="30" t="s">
        <v>1011</v>
      </c>
      <c r="G18" s="30" t="s">
        <v>1002</v>
      </c>
      <c r="H18" s="30" t="s">
        <v>1003</v>
      </c>
      <c r="I18" s="30" t="n">
        <v>1</v>
      </c>
      <c r="J18" s="30"/>
      <c r="K18" s="30" t="n">
        <v>57</v>
      </c>
      <c r="L18" s="30"/>
      <c r="M18" s="30" t="s">
        <v>1012</v>
      </c>
      <c r="N18" s="30" t="s">
        <v>54</v>
      </c>
      <c r="O18" s="30"/>
      <c r="P18" s="30"/>
      <c r="Q18" s="30"/>
      <c r="R18" s="30"/>
      <c r="S18" s="30"/>
      <c r="T18" s="30"/>
      <c r="U18" s="30" t="n">
        <v>369.28</v>
      </c>
      <c r="V18" s="30" t="n">
        <v>490.04</v>
      </c>
      <c r="W18" s="30" t="n">
        <v>56.43</v>
      </c>
      <c r="X18" s="30" t="s">
        <v>1005</v>
      </c>
      <c r="Y18" s="30" t="n">
        <v>38.39</v>
      </c>
      <c r="Z18" s="30" t="s">
        <v>1005</v>
      </c>
      <c r="AA18" s="30" t="n">
        <v>54.73</v>
      </c>
      <c r="AB18" s="30" t="s">
        <v>1005</v>
      </c>
      <c r="AC18" s="30" t="n">
        <v>21.28</v>
      </c>
      <c r="AD18" s="30" t="s">
        <v>1005</v>
      </c>
      <c r="AE18" s="30" t="n">
        <v>10.27</v>
      </c>
      <c r="AF18" s="30" t="s">
        <v>1005</v>
      </c>
      <c r="AG18" s="30" t="n">
        <v>0</v>
      </c>
      <c r="AH18" s="30" t="s">
        <v>1005</v>
      </c>
      <c r="AI18" s="30" t="n">
        <v>0</v>
      </c>
      <c r="AJ18" s="30" t="s">
        <v>1005</v>
      </c>
      <c r="AK18" s="30" t="n">
        <v>0</v>
      </c>
      <c r="AL18" s="30" t="s">
        <v>1005</v>
      </c>
      <c r="AM18" s="30" t="n">
        <v>0</v>
      </c>
      <c r="AN18" s="30" t="s">
        <v>1005</v>
      </c>
      <c r="AO18" s="30" t="n">
        <v>27.77</v>
      </c>
      <c r="AP18" s="30" t="s">
        <v>1005</v>
      </c>
      <c r="AQ18" s="30" t="n">
        <v>22.09</v>
      </c>
      <c r="AR18" s="30" t="s">
        <v>1005</v>
      </c>
      <c r="AS18" s="30" t="n">
        <v>39.61</v>
      </c>
      <c r="AT18" s="30" t="s">
        <v>1005</v>
      </c>
      <c r="AU18" s="30" t="n">
        <v>270.57</v>
      </c>
      <c r="AV18" s="30" t="n">
        <v>0.147</v>
      </c>
      <c r="AW18" s="30" t="s">
        <v>1013</v>
      </c>
      <c r="AX18" s="30" t="s">
        <v>1008</v>
      </c>
      <c r="AY18" s="30" t="n">
        <v>1</v>
      </c>
      <c r="AZ18" s="30"/>
    </row>
    <row collapsed="false" customFormat="true" customHeight="true" hidden="false" ht="33" outlineLevel="0" r="19" s="73">
      <c r="A19" s="30" t="n">
        <v>10</v>
      </c>
      <c r="B19" s="30" t="s">
        <v>72</v>
      </c>
      <c r="C19" s="30" t="s">
        <v>1009</v>
      </c>
      <c r="D19" s="30" t="s">
        <v>999</v>
      </c>
      <c r="E19" s="30" t="s">
        <v>1010</v>
      </c>
      <c r="F19" s="30" t="s">
        <v>1011</v>
      </c>
      <c r="G19" s="30" t="s">
        <v>1002</v>
      </c>
      <c r="H19" s="30" t="s">
        <v>1003</v>
      </c>
      <c r="I19" s="30" t="n">
        <v>1</v>
      </c>
      <c r="J19" s="30"/>
      <c r="K19" s="30" t="n">
        <v>57</v>
      </c>
      <c r="L19" s="30"/>
      <c r="M19" s="30" t="s">
        <v>1012</v>
      </c>
      <c r="N19" s="30" t="s">
        <v>54</v>
      </c>
      <c r="O19" s="30"/>
      <c r="P19" s="30"/>
      <c r="Q19" s="30"/>
      <c r="R19" s="30"/>
      <c r="S19" s="30"/>
      <c r="T19" s="30"/>
      <c r="U19" s="30" t="n">
        <v>317.6</v>
      </c>
      <c r="V19" s="30" t="n">
        <v>356.15</v>
      </c>
      <c r="W19" s="30" t="n">
        <v>62.86</v>
      </c>
      <c r="X19" s="30" t="s">
        <v>1005</v>
      </c>
      <c r="Y19" s="30" t="n">
        <v>35.7</v>
      </c>
      <c r="Z19" s="30" t="s">
        <v>1005</v>
      </c>
      <c r="AA19" s="30" t="n">
        <v>52.56</v>
      </c>
      <c r="AB19" s="30" t="s">
        <v>1005</v>
      </c>
      <c r="AC19" s="30" t="n">
        <v>21.79</v>
      </c>
      <c r="AD19" s="30" t="s">
        <v>1005</v>
      </c>
      <c r="AE19" s="30" t="n">
        <v>10.34</v>
      </c>
      <c r="AF19" s="30" t="s">
        <v>1005</v>
      </c>
      <c r="AG19" s="30" t="n">
        <v>0</v>
      </c>
      <c r="AH19" s="30" t="s">
        <v>1005</v>
      </c>
      <c r="AI19" s="30" t="n">
        <v>0</v>
      </c>
      <c r="AJ19" s="30" t="s">
        <v>1005</v>
      </c>
      <c r="AK19" s="30" t="n">
        <v>0</v>
      </c>
      <c r="AL19" s="30" t="s">
        <v>1005</v>
      </c>
      <c r="AM19" s="30" t="n">
        <v>0</v>
      </c>
      <c r="AN19" s="30" t="s">
        <v>1005</v>
      </c>
      <c r="AO19" s="30" t="n">
        <v>26.71</v>
      </c>
      <c r="AP19" s="30" t="s">
        <v>1005</v>
      </c>
      <c r="AQ19" s="30" t="n">
        <v>22.68</v>
      </c>
      <c r="AR19" s="30" t="s">
        <v>1005</v>
      </c>
      <c r="AS19" s="30" t="n">
        <v>30.98</v>
      </c>
      <c r="AT19" s="30" t="s">
        <v>1005</v>
      </c>
      <c r="AU19" s="30" t="n">
        <v>263.62</v>
      </c>
      <c r="AV19" s="30" t="n">
        <v>0.12</v>
      </c>
      <c r="AW19" s="30" t="s">
        <v>1013</v>
      </c>
      <c r="AX19" s="30" t="s">
        <v>1008</v>
      </c>
      <c r="AY19" s="30" t="n">
        <v>1</v>
      </c>
      <c r="AZ19" s="30"/>
    </row>
    <row collapsed="false" customFormat="true" customHeight="true" hidden="false" ht="33" outlineLevel="0" r="20" s="73">
      <c r="A20" s="30" t="n">
        <v>11</v>
      </c>
      <c r="B20" s="30" t="s">
        <v>73</v>
      </c>
      <c r="C20" s="30" t="s">
        <v>1009</v>
      </c>
      <c r="D20" s="30" t="s">
        <v>999</v>
      </c>
      <c r="E20" s="30" t="s">
        <v>1010</v>
      </c>
      <c r="F20" s="30" t="s">
        <v>1011</v>
      </c>
      <c r="G20" s="30" t="s">
        <v>1002</v>
      </c>
      <c r="H20" s="30" t="s">
        <v>1003</v>
      </c>
      <c r="I20" s="30" t="n">
        <v>1</v>
      </c>
      <c r="J20" s="30"/>
      <c r="K20" s="30" t="n">
        <v>57</v>
      </c>
      <c r="L20" s="30"/>
      <c r="M20" s="30" t="s">
        <v>1012</v>
      </c>
      <c r="N20" s="30" t="s">
        <v>54</v>
      </c>
      <c r="O20" s="30"/>
      <c r="P20" s="30"/>
      <c r="Q20" s="30"/>
      <c r="R20" s="30"/>
      <c r="S20" s="30"/>
      <c r="T20" s="30"/>
      <c r="U20" s="30" t="n">
        <v>270</v>
      </c>
      <c r="V20" s="30" t="n">
        <v>364.52</v>
      </c>
      <c r="W20" s="30" t="n">
        <v>79.17</v>
      </c>
      <c r="X20" s="30" t="s">
        <v>1005</v>
      </c>
      <c r="Y20" s="30" t="n">
        <v>44.66</v>
      </c>
      <c r="Z20" s="30" t="s">
        <v>1005</v>
      </c>
      <c r="AA20" s="30" t="n">
        <v>69.23</v>
      </c>
      <c r="AB20" s="30" t="s">
        <v>1005</v>
      </c>
      <c r="AC20" s="30" t="n">
        <v>25.94</v>
      </c>
      <c r="AD20" s="30" t="s">
        <v>1005</v>
      </c>
      <c r="AE20" s="30" t="n">
        <v>12.06</v>
      </c>
      <c r="AF20" s="30" t="s">
        <v>1005</v>
      </c>
      <c r="AG20" s="30" t="n">
        <v>0</v>
      </c>
      <c r="AH20" s="30" t="s">
        <v>1005</v>
      </c>
      <c r="AI20" s="30" t="n">
        <v>0</v>
      </c>
      <c r="AJ20" s="30" t="s">
        <v>1005</v>
      </c>
      <c r="AK20" s="30" t="n">
        <v>0</v>
      </c>
      <c r="AL20" s="30" t="s">
        <v>1005</v>
      </c>
      <c r="AM20" s="30" t="n">
        <v>0</v>
      </c>
      <c r="AN20" s="30" t="s">
        <v>1005</v>
      </c>
      <c r="AO20" s="30" t="n">
        <v>25.62</v>
      </c>
      <c r="AP20" s="30" t="s">
        <v>1005</v>
      </c>
      <c r="AQ20" s="30" t="n">
        <v>26.02</v>
      </c>
      <c r="AR20" s="30" t="s">
        <v>1005</v>
      </c>
      <c r="AS20" s="30" t="n">
        <v>25.68</v>
      </c>
      <c r="AT20" s="30" t="s">
        <v>1005</v>
      </c>
      <c r="AU20" s="30" t="n">
        <v>308.38</v>
      </c>
      <c r="AV20" s="30" t="n">
        <v>0.15248</v>
      </c>
      <c r="AW20" s="30" t="s">
        <v>1013</v>
      </c>
      <c r="AX20" s="30" t="s">
        <v>1008</v>
      </c>
      <c r="AY20" s="30" t="n">
        <v>1</v>
      </c>
      <c r="AZ20" s="30"/>
    </row>
    <row collapsed="false" customFormat="true" customHeight="true" hidden="false" ht="33" outlineLevel="0" r="21" s="73">
      <c r="A21" s="30" t="n">
        <v>12</v>
      </c>
      <c r="B21" s="30" t="s">
        <v>74</v>
      </c>
      <c r="C21" s="30" t="s">
        <v>1009</v>
      </c>
      <c r="D21" s="30" t="s">
        <v>999</v>
      </c>
      <c r="E21" s="30" t="s">
        <v>1010</v>
      </c>
      <c r="F21" s="30" t="s">
        <v>1011</v>
      </c>
      <c r="G21" s="30" t="s">
        <v>1002</v>
      </c>
      <c r="H21" s="30" t="s">
        <v>1003</v>
      </c>
      <c r="I21" s="30" t="n">
        <v>1</v>
      </c>
      <c r="J21" s="30"/>
      <c r="K21" s="30" t="n">
        <v>57</v>
      </c>
      <c r="L21" s="30"/>
      <c r="M21" s="30" t="s">
        <v>1012</v>
      </c>
      <c r="N21" s="30" t="s">
        <v>54</v>
      </c>
      <c r="O21" s="30"/>
      <c r="P21" s="30"/>
      <c r="Q21" s="30"/>
      <c r="R21" s="30"/>
      <c r="S21" s="30"/>
      <c r="T21" s="30"/>
      <c r="U21" s="30" t="n">
        <v>175.12</v>
      </c>
      <c r="V21" s="30" t="n">
        <v>307.1</v>
      </c>
      <c r="W21" s="30" t="n">
        <v>52.27</v>
      </c>
      <c r="X21" s="30" t="s">
        <v>1005</v>
      </c>
      <c r="Y21" s="30" t="n">
        <v>30.56</v>
      </c>
      <c r="Z21" s="30" t="s">
        <v>1005</v>
      </c>
      <c r="AA21" s="30" t="n">
        <v>23.01</v>
      </c>
      <c r="AB21" s="30" t="s">
        <v>1005</v>
      </c>
      <c r="AC21" s="30" t="n">
        <v>23.01</v>
      </c>
      <c r="AD21" s="30" t="s">
        <v>1006</v>
      </c>
      <c r="AE21" s="30" t="n">
        <v>6.68</v>
      </c>
      <c r="AF21" s="30" t="s">
        <v>1006</v>
      </c>
      <c r="AG21" s="30" t="n">
        <v>0</v>
      </c>
      <c r="AH21" s="30" t="s">
        <v>1006</v>
      </c>
      <c r="AI21" s="30" t="n">
        <v>0</v>
      </c>
      <c r="AJ21" s="30" t="s">
        <v>1006</v>
      </c>
      <c r="AK21" s="30" t="n">
        <v>0</v>
      </c>
      <c r="AL21" s="30" t="s">
        <v>1006</v>
      </c>
      <c r="AM21" s="30" t="n">
        <v>0</v>
      </c>
      <c r="AN21" s="30" t="s">
        <v>1006</v>
      </c>
      <c r="AO21" s="30" t="n">
        <v>5.56</v>
      </c>
      <c r="AP21" s="30" t="s">
        <v>1005</v>
      </c>
      <c r="AQ21" s="30" t="n">
        <v>2.9</v>
      </c>
      <c r="AR21" s="30" t="s">
        <v>1005</v>
      </c>
      <c r="AS21" s="30" t="n">
        <v>5.95</v>
      </c>
      <c r="AT21" s="30" t="s">
        <v>1005</v>
      </c>
      <c r="AU21" s="30" t="n">
        <v>149.94</v>
      </c>
      <c r="AV21" s="30" t="n">
        <v>0.10169</v>
      </c>
      <c r="AW21" s="30" t="s">
        <v>1013</v>
      </c>
      <c r="AX21" s="30" t="s">
        <v>1008</v>
      </c>
      <c r="AY21" s="30" t="n">
        <v>1</v>
      </c>
      <c r="AZ21" s="30"/>
    </row>
    <row collapsed="false" customFormat="true" customHeight="true" hidden="false" ht="33" outlineLevel="0" r="22" s="73">
      <c r="A22" s="30" t="n">
        <v>13</v>
      </c>
      <c r="B22" s="30" t="s">
        <v>75</v>
      </c>
      <c r="C22" s="30" t="s">
        <v>1009</v>
      </c>
      <c r="D22" s="30" t="s">
        <v>999</v>
      </c>
      <c r="E22" s="30" t="s">
        <v>1010</v>
      </c>
      <c r="F22" s="30" t="s">
        <v>1011</v>
      </c>
      <c r="G22" s="30" t="s">
        <v>1002</v>
      </c>
      <c r="H22" s="30" t="s">
        <v>1003</v>
      </c>
      <c r="I22" s="30" t="n">
        <v>0</v>
      </c>
      <c r="J22" s="30"/>
      <c r="K22" s="30" t="n">
        <v>57</v>
      </c>
      <c r="L22" s="30"/>
      <c r="M22" s="30" t="s">
        <v>1012</v>
      </c>
      <c r="N22" s="30" t="s">
        <v>54</v>
      </c>
      <c r="O22" s="30"/>
      <c r="P22" s="30"/>
      <c r="Q22" s="30"/>
      <c r="R22" s="30"/>
      <c r="S22" s="30"/>
      <c r="T22" s="30"/>
      <c r="U22" s="30" t="n">
        <v>252.12</v>
      </c>
      <c r="V22" s="30" t="n">
        <v>285.2</v>
      </c>
      <c r="W22" s="30" t="n">
        <v>32.68</v>
      </c>
      <c r="X22" s="30" t="s">
        <v>1006</v>
      </c>
      <c r="Y22" s="30" t="n">
        <v>32.68</v>
      </c>
      <c r="Z22" s="30" t="s">
        <v>1006</v>
      </c>
      <c r="AA22" s="30" t="n">
        <v>32.68</v>
      </c>
      <c r="AB22" s="30" t="s">
        <v>1006</v>
      </c>
      <c r="AC22" s="30" t="n">
        <v>32.68</v>
      </c>
      <c r="AD22" s="30" t="s">
        <v>1006</v>
      </c>
      <c r="AE22" s="30" t="n">
        <v>9.49</v>
      </c>
      <c r="AF22" s="30" t="s">
        <v>1006</v>
      </c>
      <c r="AG22" s="30" t="n">
        <v>0</v>
      </c>
      <c r="AH22" s="30" t="s">
        <v>1006</v>
      </c>
      <c r="AI22" s="30" t="n">
        <v>0</v>
      </c>
      <c r="AJ22" s="30" t="s">
        <v>1006</v>
      </c>
      <c r="AK22" s="30" t="n">
        <v>0</v>
      </c>
      <c r="AL22" s="30" t="s">
        <v>1006</v>
      </c>
      <c r="AM22" s="30" t="n">
        <v>0</v>
      </c>
      <c r="AN22" s="30" t="s">
        <v>1006</v>
      </c>
      <c r="AO22" s="30" t="n">
        <v>30.28</v>
      </c>
      <c r="AP22" s="30" t="s">
        <v>1006</v>
      </c>
      <c r="AQ22" s="30" t="n">
        <v>30.28</v>
      </c>
      <c r="AR22" s="30" t="s">
        <v>1006</v>
      </c>
      <c r="AS22" s="30" t="n">
        <v>30.28</v>
      </c>
      <c r="AT22" s="30" t="s">
        <v>1006</v>
      </c>
      <c r="AU22" s="30" t="n">
        <v>231.05</v>
      </c>
      <c r="AV22" s="30" t="n">
        <v>0.14787</v>
      </c>
      <c r="AW22" s="30" t="s">
        <v>1013</v>
      </c>
      <c r="AX22" s="30" t="s">
        <v>1008</v>
      </c>
      <c r="AY22" s="30" t="n">
        <v>1</v>
      </c>
      <c r="AZ22" s="30"/>
    </row>
    <row collapsed="false" customFormat="true" customHeight="true" hidden="false" ht="33" outlineLevel="0" r="23" s="73">
      <c r="A23" s="30" t="n">
        <v>14</v>
      </c>
      <c r="B23" s="30" t="s">
        <v>76</v>
      </c>
      <c r="C23" s="30" t="s">
        <v>1009</v>
      </c>
      <c r="D23" s="30" t="s">
        <v>999</v>
      </c>
      <c r="E23" s="30" t="s">
        <v>1010</v>
      </c>
      <c r="F23" s="30" t="s">
        <v>1011</v>
      </c>
      <c r="G23" s="30" t="s">
        <v>1002</v>
      </c>
      <c r="H23" s="30" t="s">
        <v>1003</v>
      </c>
      <c r="I23" s="30" t="n">
        <v>0</v>
      </c>
      <c r="J23" s="30"/>
      <c r="K23" s="30" t="n">
        <v>57</v>
      </c>
      <c r="L23" s="30"/>
      <c r="M23" s="30" t="s">
        <v>1012</v>
      </c>
      <c r="N23" s="30" t="s">
        <v>54</v>
      </c>
      <c r="O23" s="30"/>
      <c r="P23" s="30"/>
      <c r="Q23" s="30"/>
      <c r="R23" s="30"/>
      <c r="S23" s="30"/>
      <c r="T23" s="30"/>
      <c r="U23" s="30" t="n">
        <v>248.69</v>
      </c>
      <c r="V23" s="30" t="n">
        <v>290.1</v>
      </c>
      <c r="W23" s="30" t="n">
        <v>36.01</v>
      </c>
      <c r="X23" s="30" t="s">
        <v>1006</v>
      </c>
      <c r="Y23" s="30" t="n">
        <v>36.01</v>
      </c>
      <c r="Z23" s="30" t="s">
        <v>1006</v>
      </c>
      <c r="AA23" s="30" t="n">
        <v>36.01</v>
      </c>
      <c r="AB23" s="30" t="s">
        <v>1006</v>
      </c>
      <c r="AC23" s="30" t="n">
        <v>36.01</v>
      </c>
      <c r="AD23" s="30" t="s">
        <v>1006</v>
      </c>
      <c r="AE23" s="30" t="n">
        <v>10.45</v>
      </c>
      <c r="AF23" s="30" t="s">
        <v>1006</v>
      </c>
      <c r="AG23" s="30" t="n">
        <v>0</v>
      </c>
      <c r="AH23" s="30" t="s">
        <v>1006</v>
      </c>
      <c r="AI23" s="30" t="n">
        <v>0</v>
      </c>
      <c r="AJ23" s="30" t="s">
        <v>1006</v>
      </c>
      <c r="AK23" s="30" t="n">
        <v>0</v>
      </c>
      <c r="AL23" s="30" t="s">
        <v>1006</v>
      </c>
      <c r="AM23" s="30" t="n">
        <v>0</v>
      </c>
      <c r="AN23" s="30" t="s">
        <v>1006</v>
      </c>
      <c r="AO23" s="30" t="n">
        <v>34.27</v>
      </c>
      <c r="AP23" s="30" t="s">
        <v>1006</v>
      </c>
      <c r="AQ23" s="30" t="n">
        <v>34.27</v>
      </c>
      <c r="AR23" s="30" t="s">
        <v>1006</v>
      </c>
      <c r="AS23" s="30" t="n">
        <v>34.27</v>
      </c>
      <c r="AT23" s="30" t="s">
        <v>1006</v>
      </c>
      <c r="AU23" s="30" t="n">
        <v>257.3</v>
      </c>
      <c r="AV23" s="30" t="n">
        <v>0.1445</v>
      </c>
      <c r="AW23" s="30" t="s">
        <v>1013</v>
      </c>
      <c r="AX23" s="30" t="s">
        <v>1008</v>
      </c>
      <c r="AY23" s="30" t="n">
        <v>1</v>
      </c>
      <c r="AZ23" s="30"/>
    </row>
    <row collapsed="false" customFormat="true" customHeight="true" hidden="false" ht="33" outlineLevel="0" r="24" s="73">
      <c r="A24" s="30" t="n">
        <v>15</v>
      </c>
      <c r="B24" s="30" t="s">
        <v>77</v>
      </c>
      <c r="C24" s="30" t="s">
        <v>1009</v>
      </c>
      <c r="D24" s="30" t="s">
        <v>999</v>
      </c>
      <c r="E24" s="30" t="s">
        <v>1010</v>
      </c>
      <c r="F24" s="30" t="s">
        <v>1011</v>
      </c>
      <c r="G24" s="30" t="s">
        <v>1002</v>
      </c>
      <c r="H24" s="30" t="s">
        <v>1003</v>
      </c>
      <c r="I24" s="30" t="n">
        <v>1</v>
      </c>
      <c r="J24" s="30"/>
      <c r="K24" s="30" t="n">
        <v>57</v>
      </c>
      <c r="L24" s="30"/>
      <c r="M24" s="30" t="s">
        <v>1012</v>
      </c>
      <c r="N24" s="30" t="s">
        <v>54</v>
      </c>
      <c r="O24" s="30"/>
      <c r="P24" s="30"/>
      <c r="Q24" s="30"/>
      <c r="R24" s="30"/>
      <c r="S24" s="30"/>
      <c r="T24" s="30"/>
      <c r="U24" s="30" t="n">
        <v>259.4</v>
      </c>
      <c r="V24" s="30" t="n">
        <v>428.41</v>
      </c>
      <c r="W24" s="30" t="n">
        <v>35.64</v>
      </c>
      <c r="X24" s="30" t="s">
        <v>1006</v>
      </c>
      <c r="Y24" s="30" t="n">
        <v>35.64</v>
      </c>
      <c r="Z24" s="30" t="s">
        <v>1006</v>
      </c>
      <c r="AA24" s="30" t="n">
        <v>63.67</v>
      </c>
      <c r="AB24" s="30" t="s">
        <v>1005</v>
      </c>
      <c r="AC24" s="30" t="n">
        <v>28.63</v>
      </c>
      <c r="AD24" s="30" t="s">
        <v>1005</v>
      </c>
      <c r="AE24" s="30" t="n">
        <v>11.89</v>
      </c>
      <c r="AF24" s="30" t="s">
        <v>1005</v>
      </c>
      <c r="AG24" s="30" t="n">
        <v>0</v>
      </c>
      <c r="AH24" s="30" t="s">
        <v>1005</v>
      </c>
      <c r="AI24" s="30" t="n">
        <v>0</v>
      </c>
      <c r="AJ24" s="30" t="s">
        <v>1005</v>
      </c>
      <c r="AK24" s="30" t="n">
        <v>0</v>
      </c>
      <c r="AL24" s="30" t="s">
        <v>1005</v>
      </c>
      <c r="AM24" s="30" t="n">
        <v>0</v>
      </c>
      <c r="AN24" s="30" t="s">
        <v>1005</v>
      </c>
      <c r="AO24" s="30" t="n">
        <v>37.19</v>
      </c>
      <c r="AP24" s="30" t="s">
        <v>1005</v>
      </c>
      <c r="AQ24" s="30" t="n">
        <v>37.02</v>
      </c>
      <c r="AR24" s="30" t="s">
        <v>1005</v>
      </c>
      <c r="AS24" s="30" t="n">
        <v>41.5</v>
      </c>
      <c r="AT24" s="30" t="s">
        <v>1005</v>
      </c>
      <c r="AU24" s="30" t="n">
        <v>291.18</v>
      </c>
      <c r="AV24" s="30" t="n">
        <v>0.15084</v>
      </c>
      <c r="AW24" s="30" t="s">
        <v>1013</v>
      </c>
      <c r="AX24" s="30" t="s">
        <v>1008</v>
      </c>
      <c r="AY24" s="30" t="n">
        <v>1</v>
      </c>
      <c r="AZ24" s="30"/>
    </row>
    <row collapsed="false" customFormat="true" customHeight="true" hidden="false" ht="33" outlineLevel="0" r="25" s="73">
      <c r="A25" s="30" t="n">
        <v>16</v>
      </c>
      <c r="B25" s="30" t="s">
        <v>78</v>
      </c>
      <c r="C25" s="30" t="s">
        <v>1009</v>
      </c>
      <c r="D25" s="30" t="s">
        <v>999</v>
      </c>
      <c r="E25" s="30" t="s">
        <v>1010</v>
      </c>
      <c r="F25" s="30" t="s">
        <v>1011</v>
      </c>
      <c r="G25" s="30" t="s">
        <v>1002</v>
      </c>
      <c r="H25" s="30" t="s">
        <v>1003</v>
      </c>
      <c r="I25" s="30" t="n">
        <v>1</v>
      </c>
      <c r="J25" s="30"/>
      <c r="K25" s="30" t="n">
        <v>76</v>
      </c>
      <c r="L25" s="30"/>
      <c r="M25" s="30" t="s">
        <v>1012</v>
      </c>
      <c r="N25" s="30" t="s">
        <v>54</v>
      </c>
      <c r="O25" s="30"/>
      <c r="P25" s="30"/>
      <c r="Q25" s="30"/>
      <c r="R25" s="30"/>
      <c r="S25" s="30"/>
      <c r="T25" s="30"/>
      <c r="U25" s="30" t="n">
        <v>178.64</v>
      </c>
      <c r="V25" s="30" t="n">
        <v>282.2</v>
      </c>
      <c r="W25" s="30" t="n">
        <v>41.82</v>
      </c>
      <c r="X25" s="30" t="s">
        <v>1006</v>
      </c>
      <c r="Y25" s="30" t="n">
        <v>41.54</v>
      </c>
      <c r="Z25" s="30" t="s">
        <v>1006</v>
      </c>
      <c r="AA25" s="30" t="n">
        <v>41.54</v>
      </c>
      <c r="AB25" s="30" t="s">
        <v>1006</v>
      </c>
      <c r="AC25" s="30" t="n">
        <v>41.54</v>
      </c>
      <c r="AD25" s="30" t="s">
        <v>1006</v>
      </c>
      <c r="AE25" s="30" t="n">
        <v>12.06</v>
      </c>
      <c r="AF25" s="30" t="s">
        <v>1006</v>
      </c>
      <c r="AG25" s="30" t="n">
        <v>0</v>
      </c>
      <c r="AH25" s="30" t="s">
        <v>1006</v>
      </c>
      <c r="AI25" s="30" t="n">
        <v>0</v>
      </c>
      <c r="AJ25" s="30" t="s">
        <v>1006</v>
      </c>
      <c r="AK25" s="30" t="n">
        <v>0</v>
      </c>
      <c r="AL25" s="30" t="s">
        <v>1006</v>
      </c>
      <c r="AM25" s="30" t="n">
        <v>0</v>
      </c>
      <c r="AN25" s="30" t="s">
        <v>1006</v>
      </c>
      <c r="AO25" s="30" t="n">
        <v>28.26</v>
      </c>
      <c r="AP25" s="30" t="s">
        <v>1005</v>
      </c>
      <c r="AQ25" s="30" t="n">
        <v>26.52</v>
      </c>
      <c r="AR25" s="30" t="s">
        <v>1005</v>
      </c>
      <c r="AS25" s="30" t="n">
        <v>39.1</v>
      </c>
      <c r="AT25" s="30" t="s">
        <v>1005</v>
      </c>
      <c r="AU25" s="30" t="n">
        <v>272.38</v>
      </c>
      <c r="AV25" s="30" t="n">
        <v>0.104</v>
      </c>
      <c r="AW25" s="30" t="s">
        <v>1013</v>
      </c>
      <c r="AX25" s="30" t="s">
        <v>1008</v>
      </c>
      <c r="AY25" s="30" t="n">
        <v>1</v>
      </c>
      <c r="AZ25" s="30"/>
    </row>
    <row collapsed="false" customFormat="true" customHeight="true" hidden="false" ht="33" outlineLevel="0" r="26" s="73">
      <c r="A26" s="30" t="n">
        <v>17</v>
      </c>
      <c r="B26" s="30" t="s">
        <v>80</v>
      </c>
      <c r="C26" s="30" t="s">
        <v>1009</v>
      </c>
      <c r="D26" s="30" t="s">
        <v>999</v>
      </c>
      <c r="E26" s="30" t="s">
        <v>1010</v>
      </c>
      <c r="F26" s="30" t="s">
        <v>1011</v>
      </c>
      <c r="G26" s="30" t="s">
        <v>1002</v>
      </c>
      <c r="H26" s="30" t="s">
        <v>1003</v>
      </c>
      <c r="I26" s="30" t="n">
        <v>1</v>
      </c>
      <c r="J26" s="30"/>
      <c r="K26" s="30" t="n">
        <v>108</v>
      </c>
      <c r="L26" s="30"/>
      <c r="M26" s="30" t="s">
        <v>1012</v>
      </c>
      <c r="N26" s="30" t="s">
        <v>54</v>
      </c>
      <c r="O26" s="30"/>
      <c r="P26" s="30"/>
      <c r="Q26" s="30"/>
      <c r="R26" s="30"/>
      <c r="S26" s="30"/>
      <c r="T26" s="30"/>
      <c r="U26" s="30" t="n">
        <v>432.24</v>
      </c>
      <c r="V26" s="30" t="n">
        <v>624.52</v>
      </c>
      <c r="W26" s="30" t="n">
        <v>100.51</v>
      </c>
      <c r="X26" s="30" t="s">
        <v>1005</v>
      </c>
      <c r="Y26" s="30" t="n">
        <v>70.33</v>
      </c>
      <c r="Z26" s="30" t="s">
        <v>1005</v>
      </c>
      <c r="AA26" s="30" t="n">
        <v>83.84</v>
      </c>
      <c r="AB26" s="30" t="s">
        <v>1005</v>
      </c>
      <c r="AC26" s="30" t="n">
        <v>41.94</v>
      </c>
      <c r="AD26" s="30" t="s">
        <v>1005</v>
      </c>
      <c r="AE26" s="30" t="n">
        <v>19.92</v>
      </c>
      <c r="AF26" s="30" t="s">
        <v>1005</v>
      </c>
      <c r="AG26" s="30" t="n">
        <v>0</v>
      </c>
      <c r="AH26" s="30" t="s">
        <v>1005</v>
      </c>
      <c r="AI26" s="30" t="n">
        <v>0</v>
      </c>
      <c r="AJ26" s="30" t="s">
        <v>1005</v>
      </c>
      <c r="AK26" s="30" t="n">
        <v>0</v>
      </c>
      <c r="AL26" s="30" t="s">
        <v>1005</v>
      </c>
      <c r="AM26" s="30" t="n">
        <v>0</v>
      </c>
      <c r="AN26" s="30" t="s">
        <v>1005</v>
      </c>
      <c r="AO26" s="30" t="n">
        <v>48.67</v>
      </c>
      <c r="AP26" s="30" t="s">
        <v>1005</v>
      </c>
      <c r="AQ26" s="30" t="n">
        <v>41.38</v>
      </c>
      <c r="AR26" s="30" t="s">
        <v>1005</v>
      </c>
      <c r="AS26" s="30" t="n">
        <v>55.64</v>
      </c>
      <c r="AT26" s="30" t="s">
        <v>1005</v>
      </c>
      <c r="AU26" s="30" t="n">
        <v>462.23</v>
      </c>
      <c r="AV26" s="30" t="n">
        <v>0.225</v>
      </c>
      <c r="AW26" s="30" t="s">
        <v>1013</v>
      </c>
      <c r="AX26" s="30" t="s">
        <v>1008</v>
      </c>
      <c r="AY26" s="30" t="n">
        <v>1</v>
      </c>
      <c r="AZ26" s="30"/>
    </row>
    <row collapsed="false" customFormat="true" customHeight="true" hidden="false" ht="33" outlineLevel="0" r="27" s="73">
      <c r="A27" s="30" t="n">
        <v>18</v>
      </c>
      <c r="B27" s="30" t="s">
        <v>83</v>
      </c>
      <c r="C27" s="30" t="s">
        <v>1009</v>
      </c>
      <c r="D27" s="30" t="s">
        <v>999</v>
      </c>
      <c r="E27" s="30" t="s">
        <v>1010</v>
      </c>
      <c r="F27" s="30" t="s">
        <v>1011</v>
      </c>
      <c r="G27" s="30" t="s">
        <v>1002</v>
      </c>
      <c r="H27" s="30" t="s">
        <v>1003</v>
      </c>
      <c r="I27" s="30" t="n">
        <v>0</v>
      </c>
      <c r="J27" s="30"/>
      <c r="K27" s="30" t="n">
        <v>76</v>
      </c>
      <c r="L27" s="30"/>
      <c r="M27" s="30" t="s">
        <v>1012</v>
      </c>
      <c r="N27" s="30" t="s">
        <v>54</v>
      </c>
      <c r="O27" s="30"/>
      <c r="P27" s="30"/>
      <c r="Q27" s="30"/>
      <c r="R27" s="30"/>
      <c r="S27" s="30"/>
      <c r="T27" s="30"/>
      <c r="U27" s="30" t="n">
        <v>297.52</v>
      </c>
      <c r="V27" s="30" t="n">
        <v>305.2</v>
      </c>
      <c r="W27" s="30" t="n">
        <v>38.75</v>
      </c>
      <c r="X27" s="30" t="s">
        <v>1006</v>
      </c>
      <c r="Y27" s="30" t="n">
        <v>38.75</v>
      </c>
      <c r="Z27" s="30" t="s">
        <v>1006</v>
      </c>
      <c r="AA27" s="30" t="n">
        <v>38.75</v>
      </c>
      <c r="AB27" s="30" t="s">
        <v>1006</v>
      </c>
      <c r="AC27" s="30" t="n">
        <v>38.75</v>
      </c>
      <c r="AD27" s="30" t="s">
        <v>1006</v>
      </c>
      <c r="AE27" s="30" t="n">
        <v>11.25</v>
      </c>
      <c r="AF27" s="30" t="s">
        <v>1006</v>
      </c>
      <c r="AG27" s="30" t="n">
        <v>0</v>
      </c>
      <c r="AH27" s="30" t="s">
        <v>1006</v>
      </c>
      <c r="AI27" s="30" t="n">
        <v>0</v>
      </c>
      <c r="AJ27" s="30" t="s">
        <v>1006</v>
      </c>
      <c r="AK27" s="30" t="n">
        <v>0</v>
      </c>
      <c r="AL27" s="30" t="s">
        <v>1006</v>
      </c>
      <c r="AM27" s="30" t="n">
        <v>0</v>
      </c>
      <c r="AN27" s="30" t="s">
        <v>1006</v>
      </c>
      <c r="AO27" s="30" t="n">
        <v>30.68</v>
      </c>
      <c r="AP27" s="30" t="s">
        <v>1005</v>
      </c>
      <c r="AQ27" s="30" t="n">
        <v>37.99</v>
      </c>
      <c r="AR27" s="30" t="s">
        <v>1005</v>
      </c>
      <c r="AS27" s="30" t="n">
        <v>56.02</v>
      </c>
      <c r="AT27" s="30" t="s">
        <v>1005</v>
      </c>
      <c r="AU27" s="30" t="n">
        <v>290.94</v>
      </c>
      <c r="AV27" s="30" t="n">
        <v>0.149</v>
      </c>
      <c r="AW27" s="30" t="s">
        <v>1013</v>
      </c>
      <c r="AX27" s="30" t="s">
        <v>1008</v>
      </c>
      <c r="AY27" s="30"/>
      <c r="AZ27" s="30"/>
    </row>
    <row collapsed="false" customFormat="true" customHeight="true" hidden="false" ht="33" outlineLevel="0" r="28" s="73">
      <c r="A28" s="30" t="n">
        <v>23</v>
      </c>
      <c r="B28" s="30" t="s">
        <v>90</v>
      </c>
      <c r="C28" s="30" t="s">
        <v>1009</v>
      </c>
      <c r="D28" s="30" t="s">
        <v>999</v>
      </c>
      <c r="E28" s="30" t="s">
        <v>1000</v>
      </c>
      <c r="F28" s="30" t="s">
        <v>1001</v>
      </c>
      <c r="G28" s="30" t="s">
        <v>1002</v>
      </c>
      <c r="H28" s="30" t="s">
        <v>1003</v>
      </c>
      <c r="I28" s="30" t="n">
        <v>1</v>
      </c>
      <c r="J28" s="30"/>
      <c r="K28" s="30" t="n">
        <v>50</v>
      </c>
      <c r="L28" s="30" t="n">
        <v>5.5</v>
      </c>
      <c r="M28" s="30" t="s">
        <v>1004</v>
      </c>
      <c r="N28" s="30" t="s">
        <v>54</v>
      </c>
      <c r="O28" s="30"/>
      <c r="P28" s="30"/>
      <c r="Q28" s="30"/>
      <c r="R28" s="30"/>
      <c r="S28" s="30"/>
      <c r="T28" s="30"/>
      <c r="U28" s="30" t="n">
        <v>138.41</v>
      </c>
      <c r="V28" s="30" t="n">
        <v>118.65</v>
      </c>
      <c r="W28" s="30" t="n">
        <v>12.8</v>
      </c>
      <c r="X28" s="30" t="s">
        <v>1005</v>
      </c>
      <c r="Y28" s="30" t="n">
        <v>15.82</v>
      </c>
      <c r="Z28" s="30" t="s">
        <v>1005</v>
      </c>
      <c r="AA28" s="30" t="n">
        <v>22.69</v>
      </c>
      <c r="AB28" s="30" t="s">
        <v>1005</v>
      </c>
      <c r="AC28" s="30" t="n">
        <v>8.59</v>
      </c>
      <c r="AD28" s="30" t="s">
        <v>1005</v>
      </c>
      <c r="AE28" s="30" t="n">
        <v>3.72</v>
      </c>
      <c r="AF28" s="30" t="s">
        <v>1005</v>
      </c>
      <c r="AG28" s="30" t="n">
        <v>0</v>
      </c>
      <c r="AH28" s="30" t="s">
        <v>1006</v>
      </c>
      <c r="AI28" s="30" t="n">
        <v>0</v>
      </c>
      <c r="AJ28" s="30" t="s">
        <v>1006</v>
      </c>
      <c r="AK28" s="30" t="n">
        <v>0</v>
      </c>
      <c r="AL28" s="30" t="s">
        <v>1006</v>
      </c>
      <c r="AM28" s="30" t="n">
        <v>0</v>
      </c>
      <c r="AN28" s="30"/>
      <c r="AO28" s="30" t="n">
        <v>10.55</v>
      </c>
      <c r="AP28" s="30" t="s">
        <v>1005</v>
      </c>
      <c r="AQ28" s="30" t="n">
        <v>13.45</v>
      </c>
      <c r="AR28" s="30" t="s">
        <v>1005</v>
      </c>
      <c r="AS28" s="30" t="n">
        <v>9.86</v>
      </c>
      <c r="AT28" s="30" t="s">
        <v>1005</v>
      </c>
      <c r="AU28" s="30" t="n">
        <v>97.48</v>
      </c>
      <c r="AV28" s="30" t="n">
        <v>0.07126</v>
      </c>
      <c r="AW28" s="30" t="s">
        <v>1007</v>
      </c>
      <c r="AX28" s="30" t="s">
        <v>1008</v>
      </c>
      <c r="AY28" s="30" t="n">
        <v>0</v>
      </c>
      <c r="AZ28" s="30"/>
    </row>
    <row collapsed="false" customFormat="true" customHeight="true" hidden="false" ht="33" outlineLevel="0" r="29" s="73">
      <c r="A29" s="30" t="n">
        <v>24</v>
      </c>
      <c r="B29" s="30" t="s">
        <v>92</v>
      </c>
      <c r="C29" s="30" t="s">
        <v>1009</v>
      </c>
      <c r="D29" s="30" t="s">
        <v>999</v>
      </c>
      <c r="E29" s="30" t="s">
        <v>1000</v>
      </c>
      <c r="F29" s="30" t="s">
        <v>1001</v>
      </c>
      <c r="G29" s="30" t="s">
        <v>1002</v>
      </c>
      <c r="H29" s="30" t="s">
        <v>1003</v>
      </c>
      <c r="I29" s="30" t="n">
        <v>1</v>
      </c>
      <c r="J29" s="30"/>
      <c r="K29" s="30" t="n">
        <v>65</v>
      </c>
      <c r="L29" s="30" t="n">
        <v>5.5</v>
      </c>
      <c r="M29" s="30" t="s">
        <v>1004</v>
      </c>
      <c r="N29" s="30" t="s">
        <v>53</v>
      </c>
      <c r="O29" s="30"/>
      <c r="P29" s="30"/>
      <c r="Q29" s="30"/>
      <c r="R29" s="30"/>
      <c r="S29" s="30"/>
      <c r="T29" s="30"/>
      <c r="U29" s="30" t="n">
        <v>223.79</v>
      </c>
      <c r="V29" s="30" t="n">
        <v>210.8</v>
      </c>
      <c r="W29" s="30" t="n">
        <v>45.68</v>
      </c>
      <c r="X29" s="30" t="s">
        <v>1005</v>
      </c>
      <c r="Y29" s="30" t="n">
        <v>28.08</v>
      </c>
      <c r="Z29" s="30" t="s">
        <v>1005</v>
      </c>
      <c r="AA29" s="30" t="n">
        <v>43.86</v>
      </c>
      <c r="AB29" s="30" t="s">
        <v>1005</v>
      </c>
      <c r="AC29" s="30" t="n">
        <v>20.37</v>
      </c>
      <c r="AD29" s="30" t="s">
        <v>1005</v>
      </c>
      <c r="AE29" s="30" t="n">
        <v>6.46</v>
      </c>
      <c r="AF29" s="30" t="s">
        <v>1005</v>
      </c>
      <c r="AG29" s="30" t="n">
        <v>0</v>
      </c>
      <c r="AH29" s="30" t="s">
        <v>1006</v>
      </c>
      <c r="AI29" s="30" t="n">
        <v>0</v>
      </c>
      <c r="AJ29" s="30" t="s">
        <v>1006</v>
      </c>
      <c r="AK29" s="30" t="n">
        <v>0</v>
      </c>
      <c r="AL29" s="30" t="s">
        <v>1006</v>
      </c>
      <c r="AM29" s="30" t="n">
        <v>0</v>
      </c>
      <c r="AN29" s="30"/>
      <c r="AO29" s="30" t="n">
        <v>20.57</v>
      </c>
      <c r="AP29" s="30" t="s">
        <v>1005</v>
      </c>
      <c r="AQ29" s="30" t="n">
        <v>17.39</v>
      </c>
      <c r="AR29" s="30" t="s">
        <v>1005</v>
      </c>
      <c r="AS29" s="30" t="n">
        <v>24</v>
      </c>
      <c r="AT29" s="30" t="s">
        <v>1005</v>
      </c>
      <c r="AU29" s="30" t="n">
        <v>206.41</v>
      </c>
      <c r="AV29" s="30" t="n">
        <v>0.21565</v>
      </c>
      <c r="AW29" s="30" t="s">
        <v>1007</v>
      </c>
      <c r="AX29" s="30" t="s">
        <v>1008</v>
      </c>
      <c r="AY29" s="30" t="n">
        <v>0</v>
      </c>
      <c r="AZ29" s="30"/>
    </row>
    <row collapsed="false" customFormat="true" customHeight="true" hidden="false" ht="33" outlineLevel="0" r="30" s="73">
      <c r="A30" s="30" t="n">
        <v>25</v>
      </c>
      <c r="B30" s="30" t="s">
        <v>94</v>
      </c>
      <c r="C30" s="30" t="s">
        <v>1009</v>
      </c>
      <c r="D30" s="30" t="s">
        <v>999</v>
      </c>
      <c r="E30" s="30" t="s">
        <v>1000</v>
      </c>
      <c r="F30" s="30" t="s">
        <v>1001</v>
      </c>
      <c r="G30" s="30" t="s">
        <v>1002</v>
      </c>
      <c r="H30" s="30" t="s">
        <v>1003</v>
      </c>
      <c r="I30" s="30" t="n">
        <v>1</v>
      </c>
      <c r="J30" s="30"/>
      <c r="K30" s="30" t="n">
        <v>65</v>
      </c>
      <c r="L30" s="30" t="n">
        <v>5.5</v>
      </c>
      <c r="M30" s="30" t="s">
        <v>1004</v>
      </c>
      <c r="N30" s="30" t="s">
        <v>54</v>
      </c>
      <c r="O30" s="30"/>
      <c r="P30" s="30"/>
      <c r="Q30" s="30"/>
      <c r="R30" s="30"/>
      <c r="S30" s="30"/>
      <c r="T30" s="30"/>
      <c r="U30" s="30" t="n">
        <v>237.28</v>
      </c>
      <c r="V30" s="30" t="n">
        <v>264.4</v>
      </c>
      <c r="W30" s="30" t="n">
        <v>55.71</v>
      </c>
      <c r="X30" s="30" t="s">
        <v>1005</v>
      </c>
      <c r="Y30" s="30" t="n">
        <v>22.83</v>
      </c>
      <c r="Z30" s="30" t="s">
        <v>1005</v>
      </c>
      <c r="AA30" s="30" t="n">
        <v>22.83</v>
      </c>
      <c r="AB30" s="30" t="s">
        <v>1005</v>
      </c>
      <c r="AC30" s="30" t="n">
        <v>24.98</v>
      </c>
      <c r="AD30" s="30" t="s">
        <v>1005</v>
      </c>
      <c r="AE30" s="30" t="n">
        <v>6.63</v>
      </c>
      <c r="AF30" s="30" t="s">
        <v>1005</v>
      </c>
      <c r="AG30" s="30" t="n">
        <v>0</v>
      </c>
      <c r="AH30" s="30" t="s">
        <v>1006</v>
      </c>
      <c r="AI30" s="30" t="n">
        <v>0</v>
      </c>
      <c r="AJ30" s="30" t="s">
        <v>1006</v>
      </c>
      <c r="AK30" s="30" t="n">
        <v>0</v>
      </c>
      <c r="AL30" s="30" t="s">
        <v>1006</v>
      </c>
      <c r="AM30" s="30" t="n">
        <v>0</v>
      </c>
      <c r="AN30" s="30"/>
      <c r="AO30" s="30" t="n">
        <v>23.62</v>
      </c>
      <c r="AP30" s="30" t="s">
        <v>1005</v>
      </c>
      <c r="AQ30" s="30" t="n">
        <v>22.05</v>
      </c>
      <c r="AR30" s="30" t="s">
        <v>1005</v>
      </c>
      <c r="AS30" s="30" t="n">
        <v>30.96</v>
      </c>
      <c r="AT30" s="30" t="s">
        <v>1005</v>
      </c>
      <c r="AU30" s="30" t="n">
        <v>209.61</v>
      </c>
      <c r="AV30" s="30" t="n">
        <v>0.14051</v>
      </c>
      <c r="AW30" s="30" t="s">
        <v>1007</v>
      </c>
      <c r="AX30" s="30" t="s">
        <v>1008</v>
      </c>
      <c r="AY30" s="30" t="n">
        <v>0</v>
      </c>
      <c r="AZ30" s="30"/>
    </row>
    <row collapsed="false" customFormat="true" customHeight="true" hidden="false" ht="33" outlineLevel="0" r="31" s="73">
      <c r="A31" s="30" t="n">
        <v>27</v>
      </c>
      <c r="B31" s="30" t="s">
        <v>97</v>
      </c>
      <c r="C31" s="30" t="s">
        <v>1009</v>
      </c>
      <c r="D31" s="30" t="s">
        <v>999</v>
      </c>
      <c r="E31" s="30" t="s">
        <v>1000</v>
      </c>
      <c r="F31" s="30" t="s">
        <v>1001</v>
      </c>
      <c r="G31" s="30" t="s">
        <v>1002</v>
      </c>
      <c r="H31" s="30" t="s">
        <v>1003</v>
      </c>
      <c r="I31" s="30" t="n">
        <v>1</v>
      </c>
      <c r="J31" s="30"/>
      <c r="K31" s="30" t="n">
        <v>80</v>
      </c>
      <c r="L31" s="30" t="n">
        <v>5.5</v>
      </c>
      <c r="M31" s="30" t="s">
        <v>1004</v>
      </c>
      <c r="N31" s="30" t="s">
        <v>54</v>
      </c>
      <c r="O31" s="30"/>
      <c r="P31" s="30"/>
      <c r="Q31" s="30"/>
      <c r="R31" s="30"/>
      <c r="S31" s="30"/>
      <c r="T31" s="30"/>
      <c r="U31" s="30" t="n">
        <v>553.72</v>
      </c>
      <c r="V31" s="30" t="n">
        <v>509.47</v>
      </c>
      <c r="W31" s="30" t="n">
        <v>67.55</v>
      </c>
      <c r="X31" s="30" t="s">
        <v>1006</v>
      </c>
      <c r="Y31" s="30" t="n">
        <v>67.55</v>
      </c>
      <c r="Z31" s="30" t="s">
        <v>1005</v>
      </c>
      <c r="AA31" s="30" t="n">
        <v>67.55</v>
      </c>
      <c r="AB31" s="30" t="s">
        <v>1005</v>
      </c>
      <c r="AC31" s="30" t="n">
        <v>47.28</v>
      </c>
      <c r="AD31" s="30" t="s">
        <v>1005</v>
      </c>
      <c r="AE31" s="30" t="n">
        <v>19.61</v>
      </c>
      <c r="AF31" s="30" t="s">
        <v>1005</v>
      </c>
      <c r="AG31" s="30" t="n">
        <v>0</v>
      </c>
      <c r="AH31" s="30" t="s">
        <v>1006</v>
      </c>
      <c r="AI31" s="30" t="n">
        <v>0</v>
      </c>
      <c r="AJ31" s="30" t="s">
        <v>1006</v>
      </c>
      <c r="AK31" s="30" t="n">
        <v>0</v>
      </c>
      <c r="AL31" s="30" t="s">
        <v>1006</v>
      </c>
      <c r="AM31" s="30" t="n">
        <v>0</v>
      </c>
      <c r="AN31" s="30"/>
      <c r="AO31" s="30" t="n">
        <v>73.77</v>
      </c>
      <c r="AP31" s="30" t="s">
        <v>1005</v>
      </c>
      <c r="AQ31" s="30" t="n">
        <v>29.28</v>
      </c>
      <c r="AR31" s="30" t="s">
        <v>1005</v>
      </c>
      <c r="AS31" s="30" t="n">
        <v>59.54</v>
      </c>
      <c r="AT31" s="30" t="s">
        <v>1005</v>
      </c>
      <c r="AU31" s="30" t="n">
        <v>432.13</v>
      </c>
      <c r="AV31" s="30" t="n">
        <v>0.20475</v>
      </c>
      <c r="AW31" s="30" t="s">
        <v>1007</v>
      </c>
      <c r="AX31" s="30" t="s">
        <v>1008</v>
      </c>
      <c r="AY31" s="30" t="n">
        <v>0</v>
      </c>
      <c r="AZ31" s="30"/>
    </row>
    <row collapsed="false" customFormat="true" customHeight="true" hidden="false" ht="33" outlineLevel="0" r="32" s="73">
      <c r="A32" s="30" t="n">
        <v>28</v>
      </c>
      <c r="B32" s="30" t="s">
        <v>99</v>
      </c>
      <c r="C32" s="30" t="s">
        <v>1009</v>
      </c>
      <c r="D32" s="30" t="s">
        <v>999</v>
      </c>
      <c r="E32" s="30" t="s">
        <v>1000</v>
      </c>
      <c r="F32" s="30" t="s">
        <v>1001</v>
      </c>
      <c r="G32" s="30" t="s">
        <v>1002</v>
      </c>
      <c r="H32" s="30" t="s">
        <v>1003</v>
      </c>
      <c r="I32" s="30" t="n">
        <v>1</v>
      </c>
      <c r="J32" s="30"/>
      <c r="K32" s="30" t="n">
        <v>80</v>
      </c>
      <c r="L32" s="30" t="n">
        <v>5.5</v>
      </c>
      <c r="M32" s="30" t="s">
        <v>1004</v>
      </c>
      <c r="N32" s="30" t="s">
        <v>54</v>
      </c>
      <c r="O32" s="30"/>
      <c r="P32" s="30"/>
      <c r="Q32" s="30"/>
      <c r="R32" s="30"/>
      <c r="S32" s="30"/>
      <c r="T32" s="30"/>
      <c r="U32" s="30" t="n">
        <v>460.32</v>
      </c>
      <c r="V32" s="30" t="n">
        <v>484.22</v>
      </c>
      <c r="W32" s="30" t="n">
        <v>64.58</v>
      </c>
      <c r="X32" s="30" t="s">
        <v>1006</v>
      </c>
      <c r="Y32" s="30" t="n">
        <v>64.58</v>
      </c>
      <c r="Z32" s="30" t="s">
        <v>1005</v>
      </c>
      <c r="AA32" s="30" t="n">
        <v>64.58</v>
      </c>
      <c r="AB32" s="30" t="s">
        <v>1005</v>
      </c>
      <c r="AC32" s="30" t="n">
        <v>42.92</v>
      </c>
      <c r="AD32" s="30" t="s">
        <v>1005</v>
      </c>
      <c r="AE32" s="30" t="n">
        <v>18.75</v>
      </c>
      <c r="AF32" s="30" t="s">
        <v>1005</v>
      </c>
      <c r="AG32" s="30" t="n">
        <v>0</v>
      </c>
      <c r="AH32" s="30" t="s">
        <v>1006</v>
      </c>
      <c r="AI32" s="30" t="n">
        <v>0</v>
      </c>
      <c r="AJ32" s="30" t="s">
        <v>1006</v>
      </c>
      <c r="AK32" s="30" t="n">
        <v>0</v>
      </c>
      <c r="AL32" s="30" t="s">
        <v>1006</v>
      </c>
      <c r="AM32" s="30" t="n">
        <v>0</v>
      </c>
      <c r="AN32" s="30"/>
      <c r="AO32" s="30" t="n">
        <v>38.94</v>
      </c>
      <c r="AP32" s="30" t="s">
        <v>1005</v>
      </c>
      <c r="AQ32" s="30" t="n">
        <v>38.39</v>
      </c>
      <c r="AR32" s="30" t="s">
        <v>1005</v>
      </c>
      <c r="AS32" s="30" t="n">
        <v>54.67</v>
      </c>
      <c r="AT32" s="30" t="s">
        <v>1005</v>
      </c>
      <c r="AU32" s="30" t="n">
        <v>387.41</v>
      </c>
      <c r="AV32" s="30" t="n">
        <v>0.20876</v>
      </c>
      <c r="AW32" s="30" t="s">
        <v>1007</v>
      </c>
      <c r="AX32" s="30" t="s">
        <v>1008</v>
      </c>
      <c r="AY32" s="30" t="n">
        <v>0</v>
      </c>
      <c r="AZ32" s="30"/>
    </row>
    <row collapsed="false" customFormat="true" customHeight="true" hidden="false" ht="33" outlineLevel="0" r="33" s="73">
      <c r="A33" s="30" t="n">
        <v>29</v>
      </c>
      <c r="B33" s="30" t="s">
        <v>100</v>
      </c>
      <c r="C33" s="30" t="s">
        <v>1009</v>
      </c>
      <c r="D33" s="30" t="s">
        <v>999</v>
      </c>
      <c r="E33" s="30" t="s">
        <v>1000</v>
      </c>
      <c r="F33" s="30" t="s">
        <v>1001</v>
      </c>
      <c r="G33" s="30" t="s">
        <v>1002</v>
      </c>
      <c r="H33" s="30" t="s">
        <v>1003</v>
      </c>
      <c r="I33" s="30" t="n">
        <v>1</v>
      </c>
      <c r="J33" s="30"/>
      <c r="K33" s="30" t="n">
        <v>80</v>
      </c>
      <c r="L33" s="30" t="n">
        <v>5.5</v>
      </c>
      <c r="M33" s="30" t="s">
        <v>1004</v>
      </c>
      <c r="N33" s="30" t="s">
        <v>54</v>
      </c>
      <c r="O33" s="30"/>
      <c r="P33" s="30"/>
      <c r="Q33" s="30"/>
      <c r="R33" s="30"/>
      <c r="S33" s="30"/>
      <c r="T33" s="30"/>
      <c r="U33" s="30" t="n">
        <v>614.14</v>
      </c>
      <c r="V33" s="30" t="n">
        <v>588.85</v>
      </c>
      <c r="W33" s="30" t="n">
        <v>99.79</v>
      </c>
      <c r="X33" s="30" t="s">
        <v>1005</v>
      </c>
      <c r="Y33" s="30" t="n">
        <v>84.16</v>
      </c>
      <c r="Z33" s="30" t="s">
        <v>1005</v>
      </c>
      <c r="AA33" s="30" t="n">
        <v>105.93</v>
      </c>
      <c r="AB33" s="30" t="s">
        <v>1005</v>
      </c>
      <c r="AC33" s="30" t="n">
        <v>33.39</v>
      </c>
      <c r="AD33" s="30" t="s">
        <v>1005</v>
      </c>
      <c r="AE33" s="30" t="n">
        <v>24.16</v>
      </c>
      <c r="AF33" s="30" t="s">
        <v>1005</v>
      </c>
      <c r="AG33" s="30" t="n">
        <v>0</v>
      </c>
      <c r="AH33" s="30" t="s">
        <v>1006</v>
      </c>
      <c r="AI33" s="30" t="n">
        <v>0</v>
      </c>
      <c r="AJ33" s="30" t="s">
        <v>1006</v>
      </c>
      <c r="AK33" s="30" t="n">
        <v>0</v>
      </c>
      <c r="AL33" s="30" t="s">
        <v>1006</v>
      </c>
      <c r="AM33" s="30" t="n">
        <v>0</v>
      </c>
      <c r="AN33" s="30"/>
      <c r="AO33" s="30" t="n">
        <v>56.36</v>
      </c>
      <c r="AP33" s="30" t="s">
        <v>1005</v>
      </c>
      <c r="AQ33" s="30" t="n">
        <v>48.64</v>
      </c>
      <c r="AR33" s="30" t="s">
        <v>1005</v>
      </c>
      <c r="AS33" s="30" t="n">
        <v>67.73</v>
      </c>
      <c r="AT33" s="30" t="s">
        <v>1005</v>
      </c>
      <c r="AU33" s="30" t="n">
        <v>520.16</v>
      </c>
      <c r="AV33" s="30" t="n">
        <v>0.17564</v>
      </c>
      <c r="AW33" s="30" t="s">
        <v>1007</v>
      </c>
      <c r="AX33" s="30" t="s">
        <v>1008</v>
      </c>
      <c r="AY33" s="30" t="n">
        <v>0</v>
      </c>
      <c r="AZ33" s="30"/>
    </row>
    <row collapsed="false" customFormat="true" customHeight="true" hidden="false" ht="33" outlineLevel="0" r="34" s="73">
      <c r="A34" s="30" t="n">
        <v>250</v>
      </c>
      <c r="B34" s="30" t="s">
        <v>394</v>
      </c>
      <c r="C34" s="30" t="s">
        <v>1009</v>
      </c>
      <c r="D34" s="30" t="s">
        <v>999</v>
      </c>
      <c r="E34" s="30" t="s">
        <v>1000</v>
      </c>
      <c r="F34" s="30" t="s">
        <v>1014</v>
      </c>
      <c r="G34" s="30" t="s">
        <v>1002</v>
      </c>
      <c r="H34" s="30" t="s">
        <v>1003</v>
      </c>
      <c r="I34" s="30" t="n">
        <v>0</v>
      </c>
      <c r="J34" s="30"/>
      <c r="K34" s="30" t="n">
        <v>50</v>
      </c>
      <c r="L34" s="30" t="n">
        <v>7</v>
      </c>
      <c r="M34" s="30" t="s">
        <v>1004</v>
      </c>
      <c r="N34" s="30" t="s">
        <v>54</v>
      </c>
      <c r="O34" s="30"/>
      <c r="P34" s="30"/>
      <c r="Q34" s="30"/>
      <c r="R34" s="30"/>
      <c r="S34" s="30"/>
      <c r="T34" s="30"/>
      <c r="U34" s="30" t="n">
        <v>340.62</v>
      </c>
      <c r="V34" s="30" t="n">
        <v>406.96</v>
      </c>
      <c r="W34" s="30"/>
      <c r="X34" s="30" t="s">
        <v>1006</v>
      </c>
      <c r="Y34" s="30"/>
      <c r="Z34" s="30" t="s">
        <v>1006</v>
      </c>
      <c r="AA34" s="30"/>
      <c r="AB34" s="30" t="s">
        <v>1006</v>
      </c>
      <c r="AC34" s="30"/>
      <c r="AD34" s="30" t="s">
        <v>1006</v>
      </c>
      <c r="AE34" s="30"/>
      <c r="AF34" s="30" t="s">
        <v>1006</v>
      </c>
      <c r="AG34" s="30" t="n">
        <v>0</v>
      </c>
      <c r="AH34" s="30" t="s">
        <v>1006</v>
      </c>
      <c r="AI34" s="30" t="n">
        <v>0</v>
      </c>
      <c r="AJ34" s="30" t="s">
        <v>1006</v>
      </c>
      <c r="AK34" s="30" t="n">
        <v>0</v>
      </c>
      <c r="AL34" s="30" t="s">
        <v>1006</v>
      </c>
      <c r="AM34" s="30" t="n">
        <v>10.65</v>
      </c>
      <c r="AN34" s="30" t="s">
        <v>1006</v>
      </c>
      <c r="AO34" s="30" t="n">
        <v>45.64</v>
      </c>
      <c r="AP34" s="30" t="s">
        <v>1006</v>
      </c>
      <c r="AQ34" s="30" t="n">
        <v>45.64</v>
      </c>
      <c r="AR34" s="30" t="s">
        <v>1006</v>
      </c>
      <c r="AS34" s="30" t="n">
        <v>45.64</v>
      </c>
      <c r="AT34" s="30" t="s">
        <v>1006</v>
      </c>
      <c r="AU34" s="30" t="n">
        <v>147.57</v>
      </c>
      <c r="AV34" s="30" t="n">
        <v>0.15451</v>
      </c>
      <c r="AW34" s="30" t="s">
        <v>1007</v>
      </c>
      <c r="AX34" s="30" t="s">
        <v>1008</v>
      </c>
      <c r="AY34" s="30" t="n">
        <v>1</v>
      </c>
      <c r="AZ34" s="30"/>
    </row>
    <row collapsed="false" customFormat="true" customHeight="true" hidden="false" ht="33" outlineLevel="0" r="35" s="73">
      <c r="A35" s="30" t="n">
        <v>30</v>
      </c>
      <c r="B35" s="30" t="s">
        <v>102</v>
      </c>
      <c r="C35" s="30" t="s">
        <v>1009</v>
      </c>
      <c r="D35" s="30" t="s">
        <v>999</v>
      </c>
      <c r="E35" s="30" t="s">
        <v>1000</v>
      </c>
      <c r="F35" s="30" t="s">
        <v>1001</v>
      </c>
      <c r="G35" s="30" t="s">
        <v>1002</v>
      </c>
      <c r="H35" s="30" t="s">
        <v>1003</v>
      </c>
      <c r="I35" s="30" t="n">
        <v>1</v>
      </c>
      <c r="J35" s="30"/>
      <c r="K35" s="30" t="n">
        <v>65</v>
      </c>
      <c r="L35" s="30" t="n">
        <v>5.5</v>
      </c>
      <c r="M35" s="30" t="s">
        <v>1004</v>
      </c>
      <c r="N35" s="30" t="s">
        <v>54</v>
      </c>
      <c r="O35" s="30"/>
      <c r="P35" s="30"/>
      <c r="Q35" s="30"/>
      <c r="R35" s="30"/>
      <c r="S35" s="30"/>
      <c r="T35" s="30"/>
      <c r="U35" s="30" t="n">
        <v>238.71</v>
      </c>
      <c r="V35" s="30" t="n">
        <v>288.54</v>
      </c>
      <c r="W35" s="30" t="n">
        <v>33.52</v>
      </c>
      <c r="X35" s="30" t="s">
        <v>1006</v>
      </c>
      <c r="Y35" s="30" t="n">
        <v>39.75</v>
      </c>
      <c r="Z35" s="30" t="s">
        <v>1005</v>
      </c>
      <c r="AA35" s="30" t="n">
        <v>59.57</v>
      </c>
      <c r="AB35" s="30" t="s">
        <v>1005</v>
      </c>
      <c r="AC35" s="30" t="n">
        <v>20</v>
      </c>
      <c r="AD35" s="30" t="s">
        <v>1005</v>
      </c>
      <c r="AE35" s="30" t="n">
        <v>9.73</v>
      </c>
      <c r="AF35" s="30" t="s">
        <v>1005</v>
      </c>
      <c r="AG35" s="30" t="n">
        <v>0</v>
      </c>
      <c r="AH35" s="30" t="s">
        <v>1006</v>
      </c>
      <c r="AI35" s="30" t="n">
        <v>0</v>
      </c>
      <c r="AJ35" s="30" t="s">
        <v>1006</v>
      </c>
      <c r="AK35" s="30" t="n">
        <v>0</v>
      </c>
      <c r="AL35" s="30" t="s">
        <v>1006</v>
      </c>
      <c r="AM35" s="30" t="n">
        <v>0</v>
      </c>
      <c r="AN35" s="30"/>
      <c r="AO35" s="30" t="n">
        <v>22.19</v>
      </c>
      <c r="AP35" s="30" t="s">
        <v>1005</v>
      </c>
      <c r="AQ35" s="30" t="n">
        <v>22.31</v>
      </c>
      <c r="AR35" s="30" t="s">
        <v>1005</v>
      </c>
      <c r="AS35" s="30" t="n">
        <v>32.65</v>
      </c>
      <c r="AT35" s="30" t="s">
        <v>1005</v>
      </c>
      <c r="AU35" s="30" t="n">
        <v>239.72</v>
      </c>
      <c r="AV35" s="30" t="n">
        <v>0.13248</v>
      </c>
      <c r="AW35" s="30" t="s">
        <v>1007</v>
      </c>
      <c r="AX35" s="30" t="s">
        <v>1008</v>
      </c>
      <c r="AY35" s="30" t="n">
        <v>0</v>
      </c>
      <c r="AZ35" s="30"/>
    </row>
    <row collapsed="false" customFormat="true" customHeight="true" hidden="false" ht="33" outlineLevel="0" r="36" s="73">
      <c r="A36" s="30" t="n">
        <v>31</v>
      </c>
      <c r="B36" s="30" t="s">
        <v>104</v>
      </c>
      <c r="C36" s="30" t="s">
        <v>1009</v>
      </c>
      <c r="D36" s="30" t="s">
        <v>999</v>
      </c>
      <c r="E36" s="30" t="s">
        <v>1000</v>
      </c>
      <c r="F36" s="30" t="s">
        <v>1001</v>
      </c>
      <c r="G36" s="30" t="s">
        <v>1002</v>
      </c>
      <c r="H36" s="30" t="s">
        <v>1003</v>
      </c>
      <c r="I36" s="30" t="n">
        <v>1</v>
      </c>
      <c r="J36" s="30"/>
      <c r="K36" s="30" t="n">
        <v>65</v>
      </c>
      <c r="L36" s="30" t="n">
        <v>5.5</v>
      </c>
      <c r="M36" s="30" t="s">
        <v>1004</v>
      </c>
      <c r="N36" s="30" t="s">
        <v>54</v>
      </c>
      <c r="O36" s="30"/>
      <c r="P36" s="30"/>
      <c r="Q36" s="30"/>
      <c r="R36" s="30"/>
      <c r="S36" s="30"/>
      <c r="T36" s="30"/>
      <c r="U36" s="30" t="n">
        <v>331.07</v>
      </c>
      <c r="V36" s="30" t="n">
        <v>285.85</v>
      </c>
      <c r="W36" s="30" t="n">
        <v>32.08</v>
      </c>
      <c r="X36" s="30" t="s">
        <v>1006</v>
      </c>
      <c r="Y36" s="30" t="n">
        <v>42.52</v>
      </c>
      <c r="Z36" s="30" t="s">
        <v>1005</v>
      </c>
      <c r="AA36" s="30" t="n">
        <v>61.79</v>
      </c>
      <c r="AB36" s="30" t="s">
        <v>1005</v>
      </c>
      <c r="AC36" s="30" t="n">
        <v>23.68</v>
      </c>
      <c r="AD36" s="30" t="s">
        <v>1005</v>
      </c>
      <c r="AE36" s="30" t="n">
        <v>9.31</v>
      </c>
      <c r="AF36" s="30" t="s">
        <v>1005</v>
      </c>
      <c r="AG36" s="30" t="n">
        <v>0</v>
      </c>
      <c r="AH36" s="30" t="s">
        <v>1006</v>
      </c>
      <c r="AI36" s="30" t="n">
        <v>0</v>
      </c>
      <c r="AJ36" s="30" t="s">
        <v>1006</v>
      </c>
      <c r="AK36" s="30" t="n">
        <v>0</v>
      </c>
      <c r="AL36" s="30" t="s">
        <v>1006</v>
      </c>
      <c r="AM36" s="30" t="n">
        <v>0</v>
      </c>
      <c r="AN36" s="30"/>
      <c r="AO36" s="30" t="n">
        <v>25.75</v>
      </c>
      <c r="AP36" s="30" t="s">
        <v>1005</v>
      </c>
      <c r="AQ36" s="30" t="n">
        <v>25.73</v>
      </c>
      <c r="AR36" s="30" t="s">
        <v>1005</v>
      </c>
      <c r="AS36" s="30" t="n">
        <v>35.52</v>
      </c>
      <c r="AT36" s="30" t="s">
        <v>1005</v>
      </c>
      <c r="AU36" s="30" t="n">
        <v>256.38</v>
      </c>
      <c r="AV36" s="30" t="n">
        <v>0.13248</v>
      </c>
      <c r="AW36" s="30" t="s">
        <v>1007</v>
      </c>
      <c r="AX36" s="30" t="s">
        <v>1008</v>
      </c>
      <c r="AY36" s="30" t="n">
        <v>0</v>
      </c>
      <c r="AZ36" s="30"/>
    </row>
    <row collapsed="false" customFormat="true" customHeight="true" hidden="false" ht="33" outlineLevel="0" r="37" s="73">
      <c r="A37" s="30" t="n">
        <v>32</v>
      </c>
      <c r="B37" s="30" t="s">
        <v>105</v>
      </c>
      <c r="C37" s="30" t="s">
        <v>1009</v>
      </c>
      <c r="D37" s="30" t="s">
        <v>999</v>
      </c>
      <c r="E37" s="30" t="s">
        <v>1010</v>
      </c>
      <c r="F37" s="30" t="s">
        <v>1001</v>
      </c>
      <c r="G37" s="30" t="s">
        <v>1002</v>
      </c>
      <c r="H37" s="30" t="s">
        <v>1003</v>
      </c>
      <c r="I37" s="30" t="n">
        <v>1</v>
      </c>
      <c r="J37" s="30"/>
      <c r="K37" s="30" t="n">
        <v>50</v>
      </c>
      <c r="L37" s="30" t="n">
        <v>5.5</v>
      </c>
      <c r="M37" s="30" t="s">
        <v>1015</v>
      </c>
      <c r="N37" s="30" t="s">
        <v>53</v>
      </c>
      <c r="O37" s="30"/>
      <c r="P37" s="30"/>
      <c r="Q37" s="30"/>
      <c r="R37" s="30"/>
      <c r="S37" s="30"/>
      <c r="T37" s="30"/>
      <c r="U37" s="30" t="n">
        <v>599.88</v>
      </c>
      <c r="V37" s="30" t="n">
        <v>507.86</v>
      </c>
      <c r="W37" s="30" t="n">
        <v>96.67</v>
      </c>
      <c r="X37" s="30" t="s">
        <v>1005</v>
      </c>
      <c r="Y37" s="30" t="n">
        <v>62.33</v>
      </c>
      <c r="Z37" s="30" t="s">
        <v>1005</v>
      </c>
      <c r="AA37" s="30" t="n">
        <v>83.12</v>
      </c>
      <c r="AB37" s="30" t="s">
        <v>1005</v>
      </c>
      <c r="AC37" s="30" t="n">
        <v>35.49</v>
      </c>
      <c r="AD37" s="30" t="s">
        <v>1005</v>
      </c>
      <c r="AE37" s="30" t="n">
        <v>28.07</v>
      </c>
      <c r="AF37" s="30" t="s">
        <v>1005</v>
      </c>
      <c r="AG37" s="30" t="n">
        <v>0</v>
      </c>
      <c r="AH37" s="30" t="s">
        <v>1006</v>
      </c>
      <c r="AI37" s="30" t="n">
        <v>0</v>
      </c>
      <c r="AJ37" s="30" t="s">
        <v>1006</v>
      </c>
      <c r="AK37" s="30" t="n">
        <v>0</v>
      </c>
      <c r="AL37" s="30" t="s">
        <v>1006</v>
      </c>
      <c r="AM37" s="30" t="n">
        <v>5.04</v>
      </c>
      <c r="AN37" s="30" t="s">
        <v>1006</v>
      </c>
      <c r="AO37" s="30" t="n">
        <v>101.57</v>
      </c>
      <c r="AP37" s="30" t="s">
        <v>1006</v>
      </c>
      <c r="AQ37" s="30" t="n">
        <v>101.57</v>
      </c>
      <c r="AR37" s="30" t="s">
        <v>1006</v>
      </c>
      <c r="AS37" s="30" t="n">
        <v>80.64</v>
      </c>
      <c r="AT37" s="30" t="s">
        <v>1006</v>
      </c>
      <c r="AU37" s="30" t="n">
        <v>594.5</v>
      </c>
      <c r="AV37" s="30" t="n">
        <v>0.42417</v>
      </c>
      <c r="AW37" s="30" t="s">
        <v>1016</v>
      </c>
      <c r="AX37" s="30" t="s">
        <v>1008</v>
      </c>
      <c r="AY37" s="30" t="n">
        <v>1</v>
      </c>
      <c r="AZ37" s="30"/>
    </row>
    <row collapsed="false" customFormat="true" customHeight="true" hidden="false" ht="33" outlineLevel="0" r="38" s="73">
      <c r="A38" s="30" t="n">
        <v>33</v>
      </c>
      <c r="B38" s="30" t="s">
        <v>106</v>
      </c>
      <c r="C38" s="30" t="s">
        <v>1009</v>
      </c>
      <c r="D38" s="30" t="s">
        <v>999</v>
      </c>
      <c r="E38" s="30" t="s">
        <v>1010</v>
      </c>
      <c r="F38" s="30" t="s">
        <v>1001</v>
      </c>
      <c r="G38" s="30" t="s">
        <v>1002</v>
      </c>
      <c r="H38" s="30" t="s">
        <v>1003</v>
      </c>
      <c r="I38" s="30" t="n">
        <v>1</v>
      </c>
      <c r="J38" s="30"/>
      <c r="K38" s="30" t="n">
        <v>80</v>
      </c>
      <c r="L38" s="30" t="n">
        <v>5.5</v>
      </c>
      <c r="M38" s="30" t="s">
        <v>1015</v>
      </c>
      <c r="N38" s="30" t="s">
        <v>54</v>
      </c>
      <c r="O38" s="30"/>
      <c r="P38" s="30"/>
      <c r="Q38" s="30"/>
      <c r="R38" s="30"/>
      <c r="S38" s="30"/>
      <c r="T38" s="30"/>
      <c r="U38" s="30" t="n">
        <v>671.13</v>
      </c>
      <c r="V38" s="30" t="n">
        <v>865.83</v>
      </c>
      <c r="W38" s="30" t="n">
        <v>96.74</v>
      </c>
      <c r="X38" s="30" t="s">
        <v>1006</v>
      </c>
      <c r="Y38" s="30" t="n">
        <v>96.74</v>
      </c>
      <c r="Z38" s="30" t="s">
        <v>1005</v>
      </c>
      <c r="AA38" s="30" t="n">
        <v>96.74</v>
      </c>
      <c r="AB38" s="30" t="s">
        <v>1005</v>
      </c>
      <c r="AC38" s="30" t="n">
        <v>96.74</v>
      </c>
      <c r="AD38" s="30" t="s">
        <v>1005</v>
      </c>
      <c r="AE38" s="30" t="n">
        <v>28.09</v>
      </c>
      <c r="AF38" s="30" t="s">
        <v>1005</v>
      </c>
      <c r="AG38" s="30" t="n">
        <v>0</v>
      </c>
      <c r="AH38" s="30" t="s">
        <v>1006</v>
      </c>
      <c r="AI38" s="30" t="n">
        <v>0</v>
      </c>
      <c r="AJ38" s="30" t="s">
        <v>1006</v>
      </c>
      <c r="AK38" s="30" t="n">
        <v>0</v>
      </c>
      <c r="AL38" s="30" t="s">
        <v>1006</v>
      </c>
      <c r="AM38" s="30" t="n">
        <v>24.23</v>
      </c>
      <c r="AN38" s="30" t="s">
        <v>1006</v>
      </c>
      <c r="AO38" s="30" t="n">
        <v>103.85</v>
      </c>
      <c r="AP38" s="30" t="s">
        <v>1006</v>
      </c>
      <c r="AQ38" s="30" t="n">
        <v>103.85</v>
      </c>
      <c r="AR38" s="30" t="s">
        <v>1006</v>
      </c>
      <c r="AS38" s="30" t="n">
        <v>52.91</v>
      </c>
      <c r="AT38" s="30" t="s">
        <v>1006</v>
      </c>
      <c r="AU38" s="30" t="n">
        <v>699.89</v>
      </c>
      <c r="AV38" s="30" t="n">
        <v>0.35718</v>
      </c>
      <c r="AW38" s="30" t="s">
        <v>1016</v>
      </c>
      <c r="AX38" s="30" t="s">
        <v>1008</v>
      </c>
      <c r="AY38" s="30" t="n">
        <v>1</v>
      </c>
      <c r="AZ38" s="30"/>
    </row>
    <row collapsed="false" customFormat="true" customHeight="true" hidden="false" ht="33" outlineLevel="0" r="39" s="73">
      <c r="A39" s="30" t="n">
        <v>34</v>
      </c>
      <c r="B39" s="30" t="s">
        <v>107</v>
      </c>
      <c r="C39" s="30" t="s">
        <v>1009</v>
      </c>
      <c r="D39" s="30" t="s">
        <v>999</v>
      </c>
      <c r="E39" s="30" t="s">
        <v>1010</v>
      </c>
      <c r="F39" s="30" t="s">
        <v>1001</v>
      </c>
      <c r="G39" s="30" t="s">
        <v>1002</v>
      </c>
      <c r="H39" s="30" t="s">
        <v>1003</v>
      </c>
      <c r="I39" s="30" t="n">
        <v>1</v>
      </c>
      <c r="J39" s="30"/>
      <c r="K39" s="30" t="n">
        <v>80</v>
      </c>
      <c r="L39" s="30" t="n">
        <v>5.5</v>
      </c>
      <c r="M39" s="30" t="s">
        <v>1015</v>
      </c>
      <c r="N39" s="30" t="s">
        <v>53</v>
      </c>
      <c r="O39" s="30"/>
      <c r="P39" s="30"/>
      <c r="Q39" s="30"/>
      <c r="R39" s="30"/>
      <c r="S39" s="30"/>
      <c r="T39" s="30"/>
      <c r="U39" s="30" t="n">
        <v>448.02</v>
      </c>
      <c r="V39" s="30" t="n">
        <v>772.94</v>
      </c>
      <c r="W39" s="30" t="n">
        <v>76.97</v>
      </c>
      <c r="X39" s="30" t="s">
        <v>1006</v>
      </c>
      <c r="Y39" s="30" t="n">
        <v>76.97</v>
      </c>
      <c r="Z39" s="30" t="s">
        <v>1005</v>
      </c>
      <c r="AA39" s="30" t="n">
        <v>76.97</v>
      </c>
      <c r="AB39" s="30" t="s">
        <v>1005</v>
      </c>
      <c r="AC39" s="30" t="n">
        <v>76.97</v>
      </c>
      <c r="AD39" s="30" t="s">
        <v>1005</v>
      </c>
      <c r="AE39" s="30" t="n">
        <v>22.35</v>
      </c>
      <c r="AF39" s="30" t="s">
        <v>1005</v>
      </c>
      <c r="AG39" s="30" t="n">
        <v>0</v>
      </c>
      <c r="AH39" s="30" t="s">
        <v>1006</v>
      </c>
      <c r="AI39" s="30" t="n">
        <v>0</v>
      </c>
      <c r="AJ39" s="30" t="s">
        <v>1006</v>
      </c>
      <c r="AK39" s="30" t="n">
        <v>0</v>
      </c>
      <c r="AL39" s="30" t="s">
        <v>1006</v>
      </c>
      <c r="AM39" s="30" t="n">
        <v>18.87</v>
      </c>
      <c r="AN39" s="30" t="s">
        <v>1006</v>
      </c>
      <c r="AO39" s="30" t="n">
        <v>80.87</v>
      </c>
      <c r="AP39" s="30" t="s">
        <v>1006</v>
      </c>
      <c r="AQ39" s="30" t="n">
        <v>80.87</v>
      </c>
      <c r="AR39" s="30" t="s">
        <v>1006</v>
      </c>
      <c r="AS39" s="30" t="n">
        <v>80.87</v>
      </c>
      <c r="AT39" s="30" t="s">
        <v>1006</v>
      </c>
      <c r="AU39" s="30" t="n">
        <v>591.71</v>
      </c>
      <c r="AV39" s="30" t="n">
        <v>0.32487</v>
      </c>
      <c r="AW39" s="30" t="s">
        <v>1016</v>
      </c>
      <c r="AX39" s="30" t="s">
        <v>1008</v>
      </c>
      <c r="AY39" s="30" t="n">
        <v>1</v>
      </c>
      <c r="AZ39" s="30"/>
    </row>
    <row collapsed="false" customFormat="true" customHeight="true" hidden="false" ht="33" outlineLevel="0" r="40" s="73">
      <c r="A40" s="30" t="n">
        <v>35</v>
      </c>
      <c r="B40" s="30" t="s">
        <v>109</v>
      </c>
      <c r="C40" s="30" t="s">
        <v>1009</v>
      </c>
      <c r="D40" s="30" t="s">
        <v>999</v>
      </c>
      <c r="E40" s="30" t="s">
        <v>1010</v>
      </c>
      <c r="F40" s="30" t="s">
        <v>1001</v>
      </c>
      <c r="G40" s="30" t="s">
        <v>1002</v>
      </c>
      <c r="H40" s="30" t="s">
        <v>1003</v>
      </c>
      <c r="I40" s="30" t="n">
        <v>1</v>
      </c>
      <c r="J40" s="30"/>
      <c r="K40" s="30" t="n">
        <v>80</v>
      </c>
      <c r="L40" s="30" t="n">
        <v>5.5</v>
      </c>
      <c r="M40" s="30" t="s">
        <v>1015</v>
      </c>
      <c r="N40" s="30" t="s">
        <v>54</v>
      </c>
      <c r="O40" s="30"/>
      <c r="P40" s="30"/>
      <c r="Q40" s="30"/>
      <c r="R40" s="30"/>
      <c r="S40" s="30"/>
      <c r="T40" s="30"/>
      <c r="U40" s="30" t="n">
        <v>415.65</v>
      </c>
      <c r="V40" s="30" t="n">
        <v>634.06</v>
      </c>
      <c r="W40" s="30" t="n">
        <v>72.6</v>
      </c>
      <c r="X40" s="30" t="s">
        <v>1006</v>
      </c>
      <c r="Y40" s="30" t="n">
        <v>72.6</v>
      </c>
      <c r="Z40" s="30" t="s">
        <v>1005</v>
      </c>
      <c r="AA40" s="30" t="n">
        <v>72.6</v>
      </c>
      <c r="AB40" s="30" t="s">
        <v>1005</v>
      </c>
      <c r="AC40" s="30" t="n">
        <v>72.6</v>
      </c>
      <c r="AD40" s="30" t="s">
        <v>1005</v>
      </c>
      <c r="AE40" s="30" t="n">
        <v>21.08</v>
      </c>
      <c r="AF40" s="30" t="s">
        <v>1005</v>
      </c>
      <c r="AG40" s="30" t="n">
        <v>0</v>
      </c>
      <c r="AH40" s="30" t="s">
        <v>1006</v>
      </c>
      <c r="AI40" s="30" t="n">
        <v>0</v>
      </c>
      <c r="AJ40" s="30" t="s">
        <v>1006</v>
      </c>
      <c r="AK40" s="30" t="n">
        <v>0</v>
      </c>
      <c r="AL40" s="30" t="s">
        <v>1006</v>
      </c>
      <c r="AM40" s="30" t="n">
        <v>18.19</v>
      </c>
      <c r="AN40" s="30" t="s">
        <v>1006</v>
      </c>
      <c r="AO40" s="30" t="n">
        <v>77.94</v>
      </c>
      <c r="AP40" s="30" t="s">
        <v>1006</v>
      </c>
      <c r="AQ40" s="30" t="n">
        <v>77.94</v>
      </c>
      <c r="AR40" s="30" t="s">
        <v>1006</v>
      </c>
      <c r="AS40" s="30" t="n">
        <v>41.66</v>
      </c>
      <c r="AT40" s="30" t="s">
        <v>1006</v>
      </c>
      <c r="AU40" s="30" t="n">
        <v>527.21</v>
      </c>
      <c r="AV40" s="30" t="n">
        <v>0.23176</v>
      </c>
      <c r="AW40" s="30" t="s">
        <v>1016</v>
      </c>
      <c r="AX40" s="30" t="s">
        <v>1008</v>
      </c>
      <c r="AY40" s="30" t="n">
        <v>1</v>
      </c>
      <c r="AZ40" s="30"/>
    </row>
    <row collapsed="false" customFormat="true" customHeight="true" hidden="false" ht="33" outlineLevel="0" r="41" s="73">
      <c r="A41" s="30" t="n">
        <v>36</v>
      </c>
      <c r="B41" s="30" t="s">
        <v>110</v>
      </c>
      <c r="C41" s="30" t="s">
        <v>1009</v>
      </c>
      <c r="D41" s="30" t="s">
        <v>999</v>
      </c>
      <c r="E41" s="30" t="s">
        <v>1010</v>
      </c>
      <c r="F41" s="30" t="s">
        <v>1001</v>
      </c>
      <c r="G41" s="30" t="s">
        <v>1002</v>
      </c>
      <c r="H41" s="30" t="s">
        <v>1003</v>
      </c>
      <c r="I41" s="30" t="n">
        <v>1</v>
      </c>
      <c r="J41" s="30"/>
      <c r="K41" s="30" t="n">
        <v>80</v>
      </c>
      <c r="L41" s="30" t="n">
        <v>5.5</v>
      </c>
      <c r="M41" s="30" t="s">
        <v>1015</v>
      </c>
      <c r="N41" s="30" t="s">
        <v>53</v>
      </c>
      <c r="O41" s="30"/>
      <c r="P41" s="30"/>
      <c r="Q41" s="30"/>
      <c r="R41" s="30"/>
      <c r="S41" s="30"/>
      <c r="T41" s="30"/>
      <c r="U41" s="30" t="n">
        <v>434.29</v>
      </c>
      <c r="V41" s="30" t="n">
        <v>506.94</v>
      </c>
      <c r="W41" s="30" t="n">
        <v>77.32</v>
      </c>
      <c r="X41" s="30" t="s">
        <v>1005</v>
      </c>
      <c r="Y41" s="30" t="n">
        <v>68.23</v>
      </c>
      <c r="Z41" s="30" t="s">
        <v>1005</v>
      </c>
      <c r="AA41" s="30" t="n">
        <v>78.43</v>
      </c>
      <c r="AB41" s="30" t="s">
        <v>1005</v>
      </c>
      <c r="AC41" s="30" t="n">
        <v>34.79</v>
      </c>
      <c r="AD41" s="30" t="s">
        <v>1005</v>
      </c>
      <c r="AE41" s="30" t="n">
        <v>22.45</v>
      </c>
      <c r="AF41" s="30" t="s">
        <v>1005</v>
      </c>
      <c r="AG41" s="30" t="n">
        <v>0</v>
      </c>
      <c r="AH41" s="30" t="s">
        <v>1006</v>
      </c>
      <c r="AI41" s="30" t="n">
        <v>0</v>
      </c>
      <c r="AJ41" s="30" t="s">
        <v>1006</v>
      </c>
      <c r="AK41" s="30" t="n">
        <v>0</v>
      </c>
      <c r="AL41" s="30" t="s">
        <v>1006</v>
      </c>
      <c r="AM41" s="30" t="n">
        <v>3.54</v>
      </c>
      <c r="AN41" s="30" t="s">
        <v>1006</v>
      </c>
      <c r="AO41" s="30" t="n">
        <v>37.1</v>
      </c>
      <c r="AP41" s="30" t="s">
        <v>1005</v>
      </c>
      <c r="AQ41" s="30" t="n">
        <v>41.61</v>
      </c>
      <c r="AR41" s="30" t="s">
        <v>1005</v>
      </c>
      <c r="AS41" s="30" t="n">
        <v>59.41</v>
      </c>
      <c r="AT41" s="30" t="s">
        <v>1005</v>
      </c>
      <c r="AU41" s="30" t="n">
        <v>422.88</v>
      </c>
      <c r="AV41" s="30" t="n">
        <v>0.32487</v>
      </c>
      <c r="AW41" s="30" t="s">
        <v>1016</v>
      </c>
      <c r="AX41" s="30" t="s">
        <v>1008</v>
      </c>
      <c r="AY41" s="30" t="n">
        <v>1</v>
      </c>
      <c r="AZ41" s="30"/>
    </row>
    <row collapsed="false" customFormat="true" customHeight="true" hidden="false" ht="33" outlineLevel="0" r="42" s="73">
      <c r="A42" s="30" t="n">
        <v>37</v>
      </c>
      <c r="B42" s="30" t="s">
        <v>111</v>
      </c>
      <c r="C42" s="30" t="s">
        <v>1009</v>
      </c>
      <c r="D42" s="30" t="s">
        <v>999</v>
      </c>
      <c r="E42" s="30" t="s">
        <v>1010</v>
      </c>
      <c r="F42" s="30" t="s">
        <v>1001</v>
      </c>
      <c r="G42" s="30" t="s">
        <v>1002</v>
      </c>
      <c r="H42" s="30" t="s">
        <v>1003</v>
      </c>
      <c r="I42" s="30" t="n">
        <v>1</v>
      </c>
      <c r="J42" s="30"/>
      <c r="K42" s="30" t="n">
        <v>80</v>
      </c>
      <c r="L42" s="30" t="n">
        <v>5.5</v>
      </c>
      <c r="M42" s="30" t="s">
        <v>1015</v>
      </c>
      <c r="N42" s="30" t="s">
        <v>54</v>
      </c>
      <c r="O42" s="30"/>
      <c r="P42" s="30"/>
      <c r="Q42" s="30"/>
      <c r="R42" s="30"/>
      <c r="S42" s="30"/>
      <c r="T42" s="30"/>
      <c r="U42" s="30" t="n">
        <v>392.42</v>
      </c>
      <c r="V42" s="30" t="n">
        <v>577.49</v>
      </c>
      <c r="W42" s="30" t="n">
        <v>56.25</v>
      </c>
      <c r="X42" s="30" t="s">
        <v>1006</v>
      </c>
      <c r="Y42" s="30" t="n">
        <v>56.25</v>
      </c>
      <c r="Z42" s="30" t="s">
        <v>1005</v>
      </c>
      <c r="AA42" s="30" t="n">
        <v>56.25</v>
      </c>
      <c r="AB42" s="30" t="s">
        <v>1005</v>
      </c>
      <c r="AC42" s="30" t="n">
        <v>56.25</v>
      </c>
      <c r="AD42" s="30" t="s">
        <v>1005</v>
      </c>
      <c r="AE42" s="30" t="n">
        <v>16.33</v>
      </c>
      <c r="AF42" s="30" t="s">
        <v>1005</v>
      </c>
      <c r="AG42" s="30" t="n">
        <v>0</v>
      </c>
      <c r="AH42" s="30" t="s">
        <v>1006</v>
      </c>
      <c r="AI42" s="30" t="n">
        <v>0</v>
      </c>
      <c r="AJ42" s="30" t="s">
        <v>1006</v>
      </c>
      <c r="AK42" s="30" t="n">
        <v>0</v>
      </c>
      <c r="AL42" s="30" t="s">
        <v>1006</v>
      </c>
      <c r="AM42" s="30" t="n">
        <v>13.79</v>
      </c>
      <c r="AN42" s="30" t="s">
        <v>1006</v>
      </c>
      <c r="AO42" s="30" t="n">
        <v>59.1</v>
      </c>
      <c r="AP42" s="30" t="s">
        <v>1005</v>
      </c>
      <c r="AQ42" s="30" t="n">
        <v>31.92</v>
      </c>
      <c r="AR42" s="30" t="s">
        <v>1005</v>
      </c>
      <c r="AS42" s="30" t="n">
        <v>55.07</v>
      </c>
      <c r="AT42" s="30" t="s">
        <v>1005</v>
      </c>
      <c r="AU42" s="30" t="n">
        <v>401.21</v>
      </c>
      <c r="AV42" s="30" t="n">
        <v>0.21772</v>
      </c>
      <c r="AW42" s="30" t="s">
        <v>1016</v>
      </c>
      <c r="AX42" s="30" t="s">
        <v>1008</v>
      </c>
      <c r="AY42" s="30" t="n">
        <v>1</v>
      </c>
      <c r="AZ42" s="30"/>
    </row>
    <row collapsed="false" customFormat="true" customHeight="true" hidden="false" ht="33" outlineLevel="0" r="43" s="73">
      <c r="A43" s="30" t="n">
        <v>38</v>
      </c>
      <c r="B43" s="30" t="s">
        <v>112</v>
      </c>
      <c r="C43" s="30" t="s">
        <v>1009</v>
      </c>
      <c r="D43" s="30" t="s">
        <v>999</v>
      </c>
      <c r="E43" s="30" t="s">
        <v>1010</v>
      </c>
      <c r="F43" s="30" t="s">
        <v>1001</v>
      </c>
      <c r="G43" s="30" t="s">
        <v>1002</v>
      </c>
      <c r="H43" s="30" t="s">
        <v>1003</v>
      </c>
      <c r="I43" s="30" t="n">
        <v>1</v>
      </c>
      <c r="J43" s="30"/>
      <c r="K43" s="30" t="n">
        <v>80</v>
      </c>
      <c r="L43" s="30" t="n">
        <v>5.5</v>
      </c>
      <c r="M43" s="30" t="s">
        <v>1015</v>
      </c>
      <c r="N43" s="30" t="s">
        <v>54</v>
      </c>
      <c r="O43" s="30"/>
      <c r="P43" s="30"/>
      <c r="Q43" s="30"/>
      <c r="R43" s="30"/>
      <c r="S43" s="30"/>
      <c r="T43" s="30"/>
      <c r="U43" s="30" t="n">
        <v>565.35</v>
      </c>
      <c r="V43" s="30" t="n">
        <v>844.37</v>
      </c>
      <c r="W43" s="30" t="n">
        <v>102.24</v>
      </c>
      <c r="X43" s="30" t="s">
        <v>1006</v>
      </c>
      <c r="Y43" s="30" t="n">
        <v>102.24</v>
      </c>
      <c r="Z43" s="30" t="s">
        <v>1005</v>
      </c>
      <c r="AA43" s="30" t="n">
        <v>102.24</v>
      </c>
      <c r="AB43" s="30" t="s">
        <v>1005</v>
      </c>
      <c r="AC43" s="30" t="n">
        <v>102.24</v>
      </c>
      <c r="AD43" s="30" t="s">
        <v>1005</v>
      </c>
      <c r="AE43" s="30" t="n">
        <v>29.68</v>
      </c>
      <c r="AF43" s="30" t="s">
        <v>1005</v>
      </c>
      <c r="AG43" s="30" t="n">
        <v>0</v>
      </c>
      <c r="AH43" s="30" t="s">
        <v>1006</v>
      </c>
      <c r="AI43" s="30" t="n">
        <v>0</v>
      </c>
      <c r="AJ43" s="30" t="s">
        <v>1006</v>
      </c>
      <c r="AK43" s="30" t="n">
        <v>0</v>
      </c>
      <c r="AL43" s="30" t="s">
        <v>1006</v>
      </c>
      <c r="AM43" s="30" t="n">
        <v>14.32</v>
      </c>
      <c r="AN43" s="30" t="s">
        <v>1006</v>
      </c>
      <c r="AO43" s="30" t="n">
        <v>107.42</v>
      </c>
      <c r="AP43" s="30" t="s">
        <v>1006</v>
      </c>
      <c r="AQ43" s="30" t="n">
        <v>107.42</v>
      </c>
      <c r="AR43" s="30" t="s">
        <v>1006</v>
      </c>
      <c r="AS43" s="30" t="n">
        <v>44.52</v>
      </c>
      <c r="AT43" s="30" t="s">
        <v>1006</v>
      </c>
      <c r="AU43" s="30" t="n">
        <v>712.32</v>
      </c>
      <c r="AV43" s="30" t="n">
        <v>0.30601</v>
      </c>
      <c r="AW43" s="30" t="s">
        <v>1016</v>
      </c>
      <c r="AX43" s="30" t="s">
        <v>1008</v>
      </c>
      <c r="AY43" s="30" t="n">
        <v>1</v>
      </c>
      <c r="AZ43" s="30"/>
    </row>
    <row collapsed="false" customFormat="true" customHeight="true" hidden="false" ht="33" outlineLevel="0" r="44" s="73">
      <c r="A44" s="30" t="n">
        <v>39</v>
      </c>
      <c r="B44" s="30" t="s">
        <v>114</v>
      </c>
      <c r="C44" s="30" t="s">
        <v>1009</v>
      </c>
      <c r="D44" s="30" t="s">
        <v>999</v>
      </c>
      <c r="E44" s="30" t="s">
        <v>1010</v>
      </c>
      <c r="F44" s="30" t="s">
        <v>1001</v>
      </c>
      <c r="G44" s="30" t="s">
        <v>1002</v>
      </c>
      <c r="H44" s="30" t="s">
        <v>1003</v>
      </c>
      <c r="I44" s="30" t="n">
        <v>1</v>
      </c>
      <c r="J44" s="30"/>
      <c r="K44" s="30" t="n">
        <v>80</v>
      </c>
      <c r="L44" s="30" t="n">
        <v>5.5</v>
      </c>
      <c r="M44" s="30" t="s">
        <v>1015</v>
      </c>
      <c r="N44" s="30" t="s">
        <v>54</v>
      </c>
      <c r="O44" s="30"/>
      <c r="P44" s="30"/>
      <c r="Q44" s="30"/>
      <c r="R44" s="30"/>
      <c r="S44" s="30"/>
      <c r="T44" s="30"/>
      <c r="U44" s="30" t="n">
        <v>390.46</v>
      </c>
      <c r="V44" s="30" t="n">
        <v>584.43</v>
      </c>
      <c r="W44" s="30" t="n">
        <v>56.16</v>
      </c>
      <c r="X44" s="30" t="s">
        <v>1006</v>
      </c>
      <c r="Y44" s="30" t="n">
        <v>56.16</v>
      </c>
      <c r="Z44" s="30" t="s">
        <v>1005</v>
      </c>
      <c r="AA44" s="30" t="n">
        <v>56.16</v>
      </c>
      <c r="AB44" s="30" t="s">
        <v>1005</v>
      </c>
      <c r="AC44" s="30" t="n">
        <v>56.16</v>
      </c>
      <c r="AD44" s="30" t="s">
        <v>1005</v>
      </c>
      <c r="AE44" s="30" t="n">
        <v>16.3</v>
      </c>
      <c r="AF44" s="30" t="s">
        <v>1005</v>
      </c>
      <c r="AG44" s="30" t="n">
        <v>0</v>
      </c>
      <c r="AH44" s="30" t="s">
        <v>1006</v>
      </c>
      <c r="AI44" s="30" t="n">
        <v>0</v>
      </c>
      <c r="AJ44" s="30" t="s">
        <v>1006</v>
      </c>
      <c r="AK44" s="30" t="n">
        <v>0</v>
      </c>
      <c r="AL44" s="30" t="s">
        <v>1006</v>
      </c>
      <c r="AM44" s="30" t="n">
        <v>11.8</v>
      </c>
      <c r="AN44" s="30" t="s">
        <v>1006</v>
      </c>
      <c r="AO44" s="30" t="n">
        <v>59</v>
      </c>
      <c r="AP44" s="30" t="s">
        <v>1005</v>
      </c>
      <c r="AQ44" s="30" t="n">
        <v>33.79</v>
      </c>
      <c r="AR44" s="30" t="s">
        <v>1005</v>
      </c>
      <c r="AS44" s="30" t="n">
        <v>61.9</v>
      </c>
      <c r="AT44" s="30" t="s">
        <v>1005</v>
      </c>
      <c r="AU44" s="30" t="n">
        <v>407.43</v>
      </c>
      <c r="AV44" s="30" t="n">
        <v>0.21772</v>
      </c>
      <c r="AW44" s="30" t="s">
        <v>1016</v>
      </c>
      <c r="AX44" s="30" t="s">
        <v>1008</v>
      </c>
      <c r="AY44" s="30" t="n">
        <v>1</v>
      </c>
      <c r="AZ44" s="30"/>
    </row>
    <row collapsed="false" customFormat="true" customHeight="true" hidden="false" ht="33" outlineLevel="0" r="45" s="73">
      <c r="A45" s="30" t="n">
        <v>40</v>
      </c>
      <c r="B45" s="30" t="s">
        <v>115</v>
      </c>
      <c r="C45" s="30" t="s">
        <v>1009</v>
      </c>
      <c r="D45" s="30" t="s">
        <v>999</v>
      </c>
      <c r="E45" s="30" t="s">
        <v>1010</v>
      </c>
      <c r="F45" s="30" t="s">
        <v>1001</v>
      </c>
      <c r="G45" s="30" t="s">
        <v>1002</v>
      </c>
      <c r="H45" s="30" t="s">
        <v>1003</v>
      </c>
      <c r="I45" s="30" t="n">
        <v>1</v>
      </c>
      <c r="J45" s="30"/>
      <c r="K45" s="30" t="n">
        <v>80</v>
      </c>
      <c r="L45" s="30" t="n">
        <v>5.5</v>
      </c>
      <c r="M45" s="30" t="s">
        <v>1015</v>
      </c>
      <c r="N45" s="30" t="s">
        <v>54</v>
      </c>
      <c r="O45" s="30"/>
      <c r="P45" s="30"/>
      <c r="Q45" s="30"/>
      <c r="R45" s="30"/>
      <c r="S45" s="30"/>
      <c r="T45" s="30"/>
      <c r="U45" s="30" t="n">
        <v>479.3</v>
      </c>
      <c r="V45" s="30" t="n">
        <v>515.9</v>
      </c>
      <c r="W45" s="30" t="n">
        <v>78.34</v>
      </c>
      <c r="X45" s="30" t="s">
        <v>1005</v>
      </c>
      <c r="Y45" s="30" t="n">
        <v>66.2</v>
      </c>
      <c r="Z45" s="30" t="s">
        <v>1005</v>
      </c>
      <c r="AA45" s="30" t="n">
        <v>92.79</v>
      </c>
      <c r="AB45" s="30" t="s">
        <v>1005</v>
      </c>
      <c r="AC45" s="30" t="n">
        <v>40.48</v>
      </c>
      <c r="AD45" s="30" t="s">
        <v>1005</v>
      </c>
      <c r="AE45" s="30" t="n">
        <v>22.74</v>
      </c>
      <c r="AF45" s="30" t="s">
        <v>1005</v>
      </c>
      <c r="AG45" s="30" t="n">
        <v>0</v>
      </c>
      <c r="AH45" s="30" t="s">
        <v>1006</v>
      </c>
      <c r="AI45" s="30" t="n">
        <v>0</v>
      </c>
      <c r="AJ45" s="30" t="s">
        <v>1006</v>
      </c>
      <c r="AK45" s="30" t="n">
        <v>0</v>
      </c>
      <c r="AL45" s="30" t="s">
        <v>1006</v>
      </c>
      <c r="AM45" s="30" t="n">
        <v>4.35</v>
      </c>
      <c r="AN45" s="30" t="s">
        <v>1006</v>
      </c>
      <c r="AO45" s="30" t="n">
        <v>36.21</v>
      </c>
      <c r="AP45" s="30" t="s">
        <v>1005</v>
      </c>
      <c r="AQ45" s="30" t="n">
        <v>41.89</v>
      </c>
      <c r="AR45" s="30" t="s">
        <v>1005</v>
      </c>
      <c r="AS45" s="30" t="n">
        <v>54.96</v>
      </c>
      <c r="AT45" s="30" t="s">
        <v>1005</v>
      </c>
      <c r="AU45" s="30" t="n">
        <v>437.96</v>
      </c>
      <c r="AV45" s="30" t="n">
        <v>0.38705</v>
      </c>
      <c r="AW45" s="30" t="s">
        <v>1016</v>
      </c>
      <c r="AX45" s="30" t="s">
        <v>1008</v>
      </c>
      <c r="AY45" s="30" t="n">
        <v>1</v>
      </c>
      <c r="AZ45" s="30"/>
    </row>
    <row collapsed="false" customFormat="true" customHeight="true" hidden="false" ht="33" outlineLevel="0" r="46" s="73">
      <c r="A46" s="30" t="n">
        <v>41</v>
      </c>
      <c r="B46" s="30" t="s">
        <v>116</v>
      </c>
      <c r="C46" s="30" t="s">
        <v>1009</v>
      </c>
      <c r="D46" s="30" t="s">
        <v>999</v>
      </c>
      <c r="E46" s="30" t="s">
        <v>1010</v>
      </c>
      <c r="F46" s="30" t="s">
        <v>1001</v>
      </c>
      <c r="G46" s="30" t="s">
        <v>1002</v>
      </c>
      <c r="H46" s="30" t="s">
        <v>1003</v>
      </c>
      <c r="I46" s="30" t="n">
        <v>1</v>
      </c>
      <c r="J46" s="30"/>
      <c r="K46" s="30" t="n">
        <v>80</v>
      </c>
      <c r="L46" s="30" t="n">
        <v>5.5</v>
      </c>
      <c r="M46" s="30" t="s">
        <v>1015</v>
      </c>
      <c r="N46" s="30" t="s">
        <v>54</v>
      </c>
      <c r="O46" s="30"/>
      <c r="P46" s="30"/>
      <c r="Q46" s="30"/>
      <c r="R46" s="30"/>
      <c r="S46" s="30"/>
      <c r="T46" s="30"/>
      <c r="U46" s="30" t="n">
        <v>415.65</v>
      </c>
      <c r="V46" s="30" t="n">
        <v>576.68</v>
      </c>
      <c r="W46" s="30" t="n">
        <v>55.2</v>
      </c>
      <c r="X46" s="30" t="s">
        <v>1006</v>
      </c>
      <c r="Y46" s="30" t="n">
        <v>55.2</v>
      </c>
      <c r="Z46" s="30" t="s">
        <v>1005</v>
      </c>
      <c r="AA46" s="30" t="n">
        <v>55.2</v>
      </c>
      <c r="AB46" s="30" t="s">
        <v>1005</v>
      </c>
      <c r="AC46" s="30" t="n">
        <v>55.2</v>
      </c>
      <c r="AD46" s="30" t="s">
        <v>1005</v>
      </c>
      <c r="AE46" s="30" t="n">
        <v>16.03</v>
      </c>
      <c r="AF46" s="30" t="s">
        <v>1005</v>
      </c>
      <c r="AG46" s="30" t="n">
        <v>0</v>
      </c>
      <c r="AH46" s="30" t="s">
        <v>1006</v>
      </c>
      <c r="AI46" s="30" t="n">
        <v>0</v>
      </c>
      <c r="AJ46" s="30" t="s">
        <v>1006</v>
      </c>
      <c r="AK46" s="30" t="n">
        <v>0</v>
      </c>
      <c r="AL46" s="30" t="s">
        <v>1006</v>
      </c>
      <c r="AM46" s="30" t="n">
        <v>13.53</v>
      </c>
      <c r="AN46" s="30" t="s">
        <v>1006</v>
      </c>
      <c r="AO46" s="30" t="n">
        <v>29.41</v>
      </c>
      <c r="AP46" s="30" t="s">
        <v>1005</v>
      </c>
      <c r="AQ46" s="30" t="n">
        <v>58</v>
      </c>
      <c r="AR46" s="30" t="s">
        <v>1005</v>
      </c>
      <c r="AS46" s="30" t="n">
        <v>39.05</v>
      </c>
      <c r="AT46" s="30" t="s">
        <v>1005</v>
      </c>
      <c r="AU46" s="30" t="n">
        <v>376.82</v>
      </c>
      <c r="AV46" s="30" t="n">
        <v>0.22273</v>
      </c>
      <c r="AW46" s="30" t="s">
        <v>1016</v>
      </c>
      <c r="AX46" s="30" t="s">
        <v>1008</v>
      </c>
      <c r="AY46" s="30" t="n">
        <v>1</v>
      </c>
      <c r="AZ46" s="30"/>
    </row>
    <row collapsed="false" customFormat="true" customHeight="true" hidden="false" ht="33" outlineLevel="0" r="47" s="73">
      <c r="A47" s="30" t="n">
        <v>42</v>
      </c>
      <c r="B47" s="30" t="s">
        <v>117</v>
      </c>
      <c r="C47" s="30" t="s">
        <v>1009</v>
      </c>
      <c r="D47" s="30" t="s">
        <v>999</v>
      </c>
      <c r="E47" s="30" t="s">
        <v>1010</v>
      </c>
      <c r="F47" s="30" t="s">
        <v>1001</v>
      </c>
      <c r="G47" s="30" t="s">
        <v>1002</v>
      </c>
      <c r="H47" s="30" t="s">
        <v>1003</v>
      </c>
      <c r="I47" s="30" t="n">
        <v>1</v>
      </c>
      <c r="J47" s="30"/>
      <c r="K47" s="30" t="n">
        <v>80</v>
      </c>
      <c r="L47" s="30" t="n">
        <v>5.5</v>
      </c>
      <c r="M47" s="30" t="s">
        <v>1015</v>
      </c>
      <c r="N47" s="30" t="s">
        <v>54</v>
      </c>
      <c r="O47" s="30"/>
      <c r="P47" s="30"/>
      <c r="Q47" s="30"/>
      <c r="R47" s="30"/>
      <c r="S47" s="30"/>
      <c r="T47" s="30"/>
      <c r="U47" s="30" t="n">
        <v>577.15</v>
      </c>
      <c r="V47" s="30" t="n">
        <v>860.81</v>
      </c>
      <c r="W47" s="30" t="n">
        <v>108.02</v>
      </c>
      <c r="X47" s="30" t="s">
        <v>1006</v>
      </c>
      <c r="Y47" s="30" t="n">
        <v>108.02</v>
      </c>
      <c r="Z47" s="30" t="s">
        <v>1005</v>
      </c>
      <c r="AA47" s="30" t="n">
        <v>108.02</v>
      </c>
      <c r="AB47" s="30" t="s">
        <v>1005</v>
      </c>
      <c r="AC47" s="30" t="n">
        <v>108.02</v>
      </c>
      <c r="AD47" s="30" t="s">
        <v>1005</v>
      </c>
      <c r="AE47" s="30" t="n">
        <v>31.36</v>
      </c>
      <c r="AF47" s="30" t="s">
        <v>1005</v>
      </c>
      <c r="AG47" s="30" t="n">
        <v>0</v>
      </c>
      <c r="AH47" s="30" t="s">
        <v>1006</v>
      </c>
      <c r="AI47" s="30" t="n">
        <v>0</v>
      </c>
      <c r="AJ47" s="30" t="s">
        <v>1006</v>
      </c>
      <c r="AK47" s="30" t="n">
        <v>0</v>
      </c>
      <c r="AL47" s="30" t="s">
        <v>1006</v>
      </c>
      <c r="AM47" s="30" t="n">
        <v>18.92</v>
      </c>
      <c r="AN47" s="30" t="s">
        <v>1006</v>
      </c>
      <c r="AO47" s="30" t="n">
        <v>113.49</v>
      </c>
      <c r="AP47" s="30" t="s">
        <v>1005</v>
      </c>
      <c r="AQ47" s="30" t="n">
        <v>47.94</v>
      </c>
      <c r="AR47" s="30" t="s">
        <v>1005</v>
      </c>
      <c r="AS47" s="30" t="n">
        <v>85.86</v>
      </c>
      <c r="AT47" s="30" t="s">
        <v>1005</v>
      </c>
      <c r="AU47" s="30" t="n">
        <v>729.65</v>
      </c>
      <c r="AV47" s="30" t="n">
        <v>0.31002</v>
      </c>
      <c r="AW47" s="30" t="s">
        <v>1016</v>
      </c>
      <c r="AX47" s="30" t="s">
        <v>1008</v>
      </c>
      <c r="AY47" s="30" t="n">
        <v>1</v>
      </c>
      <c r="AZ47" s="30"/>
    </row>
    <row collapsed="false" customFormat="true" customHeight="true" hidden="false" ht="33" outlineLevel="0" r="48" s="73">
      <c r="A48" s="30" t="n">
        <v>43</v>
      </c>
      <c r="B48" s="30" t="s">
        <v>118</v>
      </c>
      <c r="C48" s="30" t="s">
        <v>1009</v>
      </c>
      <c r="D48" s="30" t="s">
        <v>999</v>
      </c>
      <c r="E48" s="30" t="s">
        <v>1010</v>
      </c>
      <c r="F48" s="30" t="s">
        <v>1001</v>
      </c>
      <c r="G48" s="30" t="s">
        <v>1002</v>
      </c>
      <c r="H48" s="30" t="s">
        <v>1003</v>
      </c>
      <c r="I48" s="30" t="n">
        <v>1</v>
      </c>
      <c r="J48" s="30"/>
      <c r="K48" s="30" t="n">
        <v>80</v>
      </c>
      <c r="L48" s="30" t="n">
        <v>5.5</v>
      </c>
      <c r="M48" s="30" t="s">
        <v>1015</v>
      </c>
      <c r="N48" s="30" t="s">
        <v>54</v>
      </c>
      <c r="O48" s="30"/>
      <c r="P48" s="30"/>
      <c r="Q48" s="30"/>
      <c r="R48" s="30"/>
      <c r="S48" s="30"/>
      <c r="T48" s="30"/>
      <c r="U48" s="30" t="n">
        <v>435.94</v>
      </c>
      <c r="V48" s="30" t="n">
        <v>467.55</v>
      </c>
      <c r="W48" s="30" t="n">
        <v>54.71</v>
      </c>
      <c r="X48" s="30" t="s">
        <v>1005</v>
      </c>
      <c r="Y48" s="30" t="n">
        <v>65.1</v>
      </c>
      <c r="Z48" s="30" t="s">
        <v>1005</v>
      </c>
      <c r="AA48" s="30" t="n">
        <v>97.12</v>
      </c>
      <c r="AB48" s="30" t="s">
        <v>1005</v>
      </c>
      <c r="AC48" s="30" t="n">
        <v>46.06</v>
      </c>
      <c r="AD48" s="30" t="s">
        <v>1005</v>
      </c>
      <c r="AE48" s="30" t="n">
        <v>15.88</v>
      </c>
      <c r="AF48" s="30" t="s">
        <v>1005</v>
      </c>
      <c r="AG48" s="30" t="n">
        <v>0</v>
      </c>
      <c r="AH48" s="30" t="s">
        <v>1006</v>
      </c>
      <c r="AI48" s="30" t="n">
        <v>0</v>
      </c>
      <c r="AJ48" s="30" t="s">
        <v>1006</v>
      </c>
      <c r="AK48" s="30" t="n">
        <v>0</v>
      </c>
      <c r="AL48" s="30" t="s">
        <v>1006</v>
      </c>
      <c r="AM48" s="30" t="n">
        <v>0</v>
      </c>
      <c r="AN48" s="30"/>
      <c r="AO48" s="30" t="n">
        <v>44.08</v>
      </c>
      <c r="AP48" s="30" t="s">
        <v>1005</v>
      </c>
      <c r="AQ48" s="30" t="n">
        <v>52.04</v>
      </c>
      <c r="AR48" s="30" t="s">
        <v>1005</v>
      </c>
      <c r="AS48" s="30" t="n">
        <v>66.91</v>
      </c>
      <c r="AT48" s="30" t="s">
        <v>1005</v>
      </c>
      <c r="AU48" s="30" t="n">
        <v>441.9</v>
      </c>
      <c r="AV48" s="30" t="n">
        <v>0.22273</v>
      </c>
      <c r="AW48" s="30" t="s">
        <v>1016</v>
      </c>
      <c r="AX48" s="30" t="s">
        <v>1008</v>
      </c>
      <c r="AY48" s="30" t="n">
        <v>1</v>
      </c>
      <c r="AZ48" s="30"/>
    </row>
    <row collapsed="false" customFormat="true" customHeight="true" hidden="false" ht="33" outlineLevel="0" r="49" s="73">
      <c r="A49" s="30" t="n">
        <v>44</v>
      </c>
      <c r="B49" s="30" t="s">
        <v>119</v>
      </c>
      <c r="C49" s="30" t="s">
        <v>1009</v>
      </c>
      <c r="D49" s="30" t="s">
        <v>999</v>
      </c>
      <c r="E49" s="30" t="s">
        <v>1010</v>
      </c>
      <c r="F49" s="30" t="s">
        <v>1001</v>
      </c>
      <c r="G49" s="30" t="s">
        <v>1002</v>
      </c>
      <c r="H49" s="30" t="s">
        <v>1003</v>
      </c>
      <c r="I49" s="30" t="n">
        <v>0</v>
      </c>
      <c r="J49" s="30"/>
      <c r="K49" s="30" t="n">
        <v>50</v>
      </c>
      <c r="L49" s="30" t="n">
        <v>5.5</v>
      </c>
      <c r="M49" s="30" t="s">
        <v>1015</v>
      </c>
      <c r="N49" s="30" t="s">
        <v>54</v>
      </c>
      <c r="O49" s="30"/>
      <c r="P49" s="30"/>
      <c r="Q49" s="30"/>
      <c r="R49" s="30"/>
      <c r="S49" s="30"/>
      <c r="T49" s="30"/>
      <c r="U49" s="30" t="n">
        <v>178.72</v>
      </c>
      <c r="V49" s="30" t="n">
        <v>278.5</v>
      </c>
      <c r="W49" s="30" t="n">
        <v>27.68</v>
      </c>
      <c r="X49" s="30" t="s">
        <v>1006</v>
      </c>
      <c r="Y49" s="30" t="n">
        <v>27.68</v>
      </c>
      <c r="Z49" s="30" t="s">
        <v>1005</v>
      </c>
      <c r="AA49" s="30" t="n">
        <v>27.68</v>
      </c>
      <c r="AB49" s="30" t="s">
        <v>1005</v>
      </c>
      <c r="AC49" s="30" t="n">
        <v>27.68</v>
      </c>
      <c r="AD49" s="30" t="s">
        <v>1005</v>
      </c>
      <c r="AE49" s="30" t="n">
        <v>8.04</v>
      </c>
      <c r="AF49" s="30" t="s">
        <v>1005</v>
      </c>
      <c r="AG49" s="30" t="n">
        <v>0</v>
      </c>
      <c r="AH49" s="30" t="s">
        <v>1006</v>
      </c>
      <c r="AI49" s="30" t="n">
        <v>0</v>
      </c>
      <c r="AJ49" s="30" t="s">
        <v>1006</v>
      </c>
      <c r="AK49" s="30" t="n">
        <v>0</v>
      </c>
      <c r="AL49" s="30" t="s">
        <v>1006</v>
      </c>
      <c r="AM49" s="30" t="n">
        <v>6.79</v>
      </c>
      <c r="AN49" s="30" t="s">
        <v>1006</v>
      </c>
      <c r="AO49" s="30" t="n">
        <v>29.08</v>
      </c>
      <c r="AP49" s="30" t="s">
        <v>1006</v>
      </c>
      <c r="AQ49" s="30" t="n">
        <v>29.08</v>
      </c>
      <c r="AR49" s="30" t="s">
        <v>1006</v>
      </c>
      <c r="AS49" s="30" t="n">
        <v>29.08</v>
      </c>
      <c r="AT49" s="30" t="s">
        <v>1006</v>
      </c>
      <c r="AU49" s="30" t="n">
        <v>212.79</v>
      </c>
      <c r="AV49" s="30" t="n">
        <v>0.09531</v>
      </c>
      <c r="AW49" s="30" t="s">
        <v>1007</v>
      </c>
      <c r="AX49" s="30" t="s">
        <v>1008</v>
      </c>
      <c r="AY49" s="30"/>
      <c r="AZ49" s="30"/>
    </row>
    <row collapsed="false" customFormat="true" customHeight="true" hidden="false" ht="33" outlineLevel="0" r="50" s="73">
      <c r="A50" s="30" t="n">
        <v>45</v>
      </c>
      <c r="B50" s="30" t="s">
        <v>120</v>
      </c>
      <c r="C50" s="30" t="s">
        <v>1009</v>
      </c>
      <c r="D50" s="30" t="s">
        <v>999</v>
      </c>
      <c r="E50" s="30" t="s">
        <v>1010</v>
      </c>
      <c r="F50" s="30" t="s">
        <v>1001</v>
      </c>
      <c r="G50" s="30" t="s">
        <v>1002</v>
      </c>
      <c r="H50" s="30" t="s">
        <v>1003</v>
      </c>
      <c r="I50" s="30" t="n">
        <v>0</v>
      </c>
      <c r="J50" s="30"/>
      <c r="K50" s="30" t="n">
        <v>50</v>
      </c>
      <c r="L50" s="30" t="n">
        <v>5.5</v>
      </c>
      <c r="M50" s="30" t="s">
        <v>1015</v>
      </c>
      <c r="N50" s="30" t="s">
        <v>54</v>
      </c>
      <c r="O50" s="30"/>
      <c r="P50" s="30"/>
      <c r="Q50" s="30"/>
      <c r="R50" s="30"/>
      <c r="S50" s="30"/>
      <c r="T50" s="30"/>
      <c r="U50" s="30" t="n">
        <v>178.72</v>
      </c>
      <c r="V50" s="30" t="n">
        <v>256.52</v>
      </c>
      <c r="W50" s="30" t="n">
        <v>25.22</v>
      </c>
      <c r="X50" s="30" t="s">
        <v>1006</v>
      </c>
      <c r="Y50" s="30" t="n">
        <v>25.22</v>
      </c>
      <c r="Z50" s="30" t="s">
        <v>1005</v>
      </c>
      <c r="AA50" s="30" t="n">
        <v>25.22</v>
      </c>
      <c r="AB50" s="30" t="s">
        <v>1005</v>
      </c>
      <c r="AC50" s="30" t="n">
        <v>25.22</v>
      </c>
      <c r="AD50" s="30" t="s">
        <v>1005</v>
      </c>
      <c r="AE50" s="30" t="n">
        <v>7.32</v>
      </c>
      <c r="AF50" s="30" t="s">
        <v>1005</v>
      </c>
      <c r="AG50" s="30" t="n">
        <v>0</v>
      </c>
      <c r="AH50" s="30" t="s">
        <v>1006</v>
      </c>
      <c r="AI50" s="30" t="n">
        <v>0</v>
      </c>
      <c r="AJ50" s="30" t="s">
        <v>1006</v>
      </c>
      <c r="AK50" s="30" t="n">
        <v>0</v>
      </c>
      <c r="AL50" s="30" t="s">
        <v>1006</v>
      </c>
      <c r="AM50" s="30" t="n">
        <v>6.18</v>
      </c>
      <c r="AN50" s="30" t="s">
        <v>1006</v>
      </c>
      <c r="AO50" s="30" t="n">
        <v>26.5</v>
      </c>
      <c r="AP50" s="30" t="s">
        <v>1006</v>
      </c>
      <c r="AQ50" s="30" t="n">
        <v>26.5</v>
      </c>
      <c r="AR50" s="30" t="s">
        <v>1006</v>
      </c>
      <c r="AS50" s="30" t="n">
        <v>26.5</v>
      </c>
      <c r="AT50" s="30" t="s">
        <v>1006</v>
      </c>
      <c r="AU50" s="30" t="n">
        <v>193.88</v>
      </c>
      <c r="AV50" s="30" t="n">
        <v>0.09531</v>
      </c>
      <c r="AW50" s="30" t="s">
        <v>1007</v>
      </c>
      <c r="AX50" s="30" t="s">
        <v>1008</v>
      </c>
      <c r="AY50" s="30"/>
      <c r="AZ50" s="30"/>
    </row>
    <row collapsed="false" customFormat="true" customHeight="true" hidden="false" ht="33" outlineLevel="0" r="51" s="73">
      <c r="A51" s="30" t="n">
        <v>46</v>
      </c>
      <c r="B51" s="30" t="s">
        <v>121</v>
      </c>
      <c r="C51" s="30" t="s">
        <v>1009</v>
      </c>
      <c r="D51" s="30" t="s">
        <v>999</v>
      </c>
      <c r="E51" s="30" t="s">
        <v>1010</v>
      </c>
      <c r="F51" s="30" t="s">
        <v>1001</v>
      </c>
      <c r="G51" s="30" t="s">
        <v>1002</v>
      </c>
      <c r="H51" s="30" t="s">
        <v>1003</v>
      </c>
      <c r="I51" s="30" t="n">
        <v>0</v>
      </c>
      <c r="J51" s="30"/>
      <c r="K51" s="30" t="n">
        <v>50</v>
      </c>
      <c r="L51" s="30" t="n">
        <v>5.5</v>
      </c>
      <c r="M51" s="30" t="s">
        <v>1015</v>
      </c>
      <c r="N51" s="30" t="s">
        <v>54</v>
      </c>
      <c r="O51" s="30"/>
      <c r="P51" s="30"/>
      <c r="Q51" s="30"/>
      <c r="R51" s="30"/>
      <c r="S51" s="30"/>
      <c r="T51" s="30"/>
      <c r="U51" s="30" t="n">
        <v>151.19</v>
      </c>
      <c r="V51" s="30" t="n">
        <v>212.7</v>
      </c>
      <c r="W51" s="30" t="n">
        <v>20.39</v>
      </c>
      <c r="X51" s="30" t="s">
        <v>1006</v>
      </c>
      <c r="Y51" s="30" t="n">
        <v>20.39</v>
      </c>
      <c r="Z51" s="30" t="s">
        <v>1005</v>
      </c>
      <c r="AA51" s="30" t="n">
        <v>20.39</v>
      </c>
      <c r="AB51" s="30" t="s">
        <v>1005</v>
      </c>
      <c r="AC51" s="30" t="n">
        <v>20.39</v>
      </c>
      <c r="AD51" s="30" t="s">
        <v>1005</v>
      </c>
      <c r="AE51" s="30" t="n">
        <v>5.92</v>
      </c>
      <c r="AF51" s="30" t="s">
        <v>1005</v>
      </c>
      <c r="AG51" s="30" t="n">
        <v>0</v>
      </c>
      <c r="AH51" s="30" t="s">
        <v>1006</v>
      </c>
      <c r="AI51" s="30" t="n">
        <v>0</v>
      </c>
      <c r="AJ51" s="30" t="s">
        <v>1006</v>
      </c>
      <c r="AK51" s="30" t="n">
        <v>0</v>
      </c>
      <c r="AL51" s="30" t="s">
        <v>1006</v>
      </c>
      <c r="AM51" s="30" t="n">
        <v>0.61</v>
      </c>
      <c r="AN51" s="30" t="s">
        <v>1006</v>
      </c>
      <c r="AO51" s="30" t="n">
        <v>6.32</v>
      </c>
      <c r="AP51" s="30" t="s">
        <v>1005</v>
      </c>
      <c r="AQ51" s="30" t="n">
        <v>8.49</v>
      </c>
      <c r="AR51" s="30" t="s">
        <v>1005</v>
      </c>
      <c r="AS51" s="30" t="n">
        <v>10.99</v>
      </c>
      <c r="AT51" s="30" t="s">
        <v>1005</v>
      </c>
      <c r="AU51" s="30" t="n">
        <v>113.89</v>
      </c>
      <c r="AV51" s="30" t="n">
        <v>0.08026</v>
      </c>
      <c r="AW51" s="30" t="s">
        <v>1007</v>
      </c>
      <c r="AX51" s="30" t="s">
        <v>1008</v>
      </c>
      <c r="AY51" s="30"/>
      <c r="AZ51" s="30"/>
    </row>
    <row collapsed="false" customFormat="true" customHeight="true" hidden="false" ht="33" outlineLevel="0" r="52" s="73">
      <c r="A52" s="30" t="n">
        <v>47</v>
      </c>
      <c r="B52" s="30" t="s">
        <v>122</v>
      </c>
      <c r="C52" s="30" t="s">
        <v>1009</v>
      </c>
      <c r="D52" s="30" t="s">
        <v>999</v>
      </c>
      <c r="E52" s="30" t="s">
        <v>1010</v>
      </c>
      <c r="F52" s="30" t="s">
        <v>1001</v>
      </c>
      <c r="G52" s="30" t="s">
        <v>1002</v>
      </c>
      <c r="H52" s="30" t="s">
        <v>1003</v>
      </c>
      <c r="I52" s="30" t="n">
        <v>1</v>
      </c>
      <c r="J52" s="30"/>
      <c r="K52" s="30" t="n">
        <v>80</v>
      </c>
      <c r="L52" s="30" t="n">
        <v>5.5</v>
      </c>
      <c r="M52" s="30" t="s">
        <v>1015</v>
      </c>
      <c r="N52" s="30" t="s">
        <v>53</v>
      </c>
      <c r="O52" s="30"/>
      <c r="P52" s="30"/>
      <c r="Q52" s="30"/>
      <c r="R52" s="30"/>
      <c r="S52" s="30"/>
      <c r="T52" s="30"/>
      <c r="U52" s="30" t="n">
        <v>351.04</v>
      </c>
      <c r="V52" s="30" t="n">
        <v>358.41</v>
      </c>
      <c r="W52" s="30" t="n">
        <v>77.63</v>
      </c>
      <c r="X52" s="30" t="s">
        <v>1005</v>
      </c>
      <c r="Y52" s="30" t="n">
        <v>44.19</v>
      </c>
      <c r="Z52" s="30" t="s">
        <v>1005</v>
      </c>
      <c r="AA52" s="30" t="n">
        <v>60.68</v>
      </c>
      <c r="AB52" s="30" t="s">
        <v>1005</v>
      </c>
      <c r="AC52" s="30" t="n">
        <v>23.93</v>
      </c>
      <c r="AD52" s="30" t="s">
        <v>1005</v>
      </c>
      <c r="AE52" s="30" t="n">
        <v>22.54</v>
      </c>
      <c r="AF52" s="30" t="s">
        <v>1005</v>
      </c>
      <c r="AG52" s="30" t="n">
        <v>0</v>
      </c>
      <c r="AH52" s="30" t="s">
        <v>1006</v>
      </c>
      <c r="AI52" s="30" t="n">
        <v>0</v>
      </c>
      <c r="AJ52" s="30" t="s">
        <v>1006</v>
      </c>
      <c r="AK52" s="30" t="n">
        <v>0</v>
      </c>
      <c r="AL52" s="30" t="s">
        <v>1006</v>
      </c>
      <c r="AM52" s="30" t="n">
        <v>1.82</v>
      </c>
      <c r="AN52" s="30" t="s">
        <v>1006</v>
      </c>
      <c r="AO52" s="30" t="n">
        <v>18.79</v>
      </c>
      <c r="AP52" s="30" t="s">
        <v>1005</v>
      </c>
      <c r="AQ52" s="30" t="n">
        <v>25.27</v>
      </c>
      <c r="AR52" s="30" t="s">
        <v>1005</v>
      </c>
      <c r="AS52" s="30" t="n">
        <v>32.68</v>
      </c>
      <c r="AT52" s="30" t="s">
        <v>1005</v>
      </c>
      <c r="AU52" s="30" t="n">
        <v>307.53</v>
      </c>
      <c r="AV52" s="30" t="n">
        <v>0.46799</v>
      </c>
      <c r="AW52" s="30" t="s">
        <v>1016</v>
      </c>
      <c r="AX52" s="30" t="s">
        <v>1008</v>
      </c>
      <c r="AY52" s="30" t="n">
        <v>1</v>
      </c>
      <c r="AZ52" s="30"/>
    </row>
    <row collapsed="false" customFormat="true" customHeight="true" hidden="false" ht="33" outlineLevel="0" r="53" s="73">
      <c r="A53" s="30" t="n">
        <v>48</v>
      </c>
      <c r="B53" s="30" t="s">
        <v>124</v>
      </c>
      <c r="C53" s="30" t="s">
        <v>1009</v>
      </c>
      <c r="D53" s="30" t="s">
        <v>999</v>
      </c>
      <c r="E53" s="30" t="s">
        <v>1010</v>
      </c>
      <c r="F53" s="30" t="s">
        <v>1011</v>
      </c>
      <c r="G53" s="30" t="s">
        <v>1002</v>
      </c>
      <c r="H53" s="30" t="s">
        <v>1003</v>
      </c>
      <c r="I53" s="30" t="n">
        <v>1</v>
      </c>
      <c r="J53" s="30"/>
      <c r="K53" s="30" t="n">
        <v>76</v>
      </c>
      <c r="L53" s="30"/>
      <c r="M53" s="30" t="s">
        <v>1012</v>
      </c>
      <c r="N53" s="30" t="s">
        <v>54</v>
      </c>
      <c r="O53" s="30"/>
      <c r="P53" s="30"/>
      <c r="Q53" s="30"/>
      <c r="R53" s="30"/>
      <c r="S53" s="30"/>
      <c r="T53" s="30"/>
      <c r="U53" s="30" t="n">
        <v>625.33</v>
      </c>
      <c r="V53" s="30" t="n">
        <v>663.04</v>
      </c>
      <c r="W53" s="30" t="n">
        <v>141.53</v>
      </c>
      <c r="X53" s="30" t="s">
        <v>1005</v>
      </c>
      <c r="Y53" s="30" t="n">
        <v>97.85</v>
      </c>
      <c r="Z53" s="30" t="s">
        <v>1005</v>
      </c>
      <c r="AA53" s="30" t="n">
        <v>126.98</v>
      </c>
      <c r="AB53" s="30" t="s">
        <v>1005</v>
      </c>
      <c r="AC53" s="30" t="n">
        <v>44.02</v>
      </c>
      <c r="AD53" s="30" t="s">
        <v>1005</v>
      </c>
      <c r="AE53" s="30" t="n">
        <v>25.94</v>
      </c>
      <c r="AF53" s="30" t="s">
        <v>1005</v>
      </c>
      <c r="AG53" s="30" t="n">
        <v>0</v>
      </c>
      <c r="AH53" s="30" t="s">
        <v>1005</v>
      </c>
      <c r="AI53" s="30" t="n">
        <v>0</v>
      </c>
      <c r="AJ53" s="30" t="s">
        <v>1005</v>
      </c>
      <c r="AK53" s="30" t="n">
        <v>0</v>
      </c>
      <c r="AL53" s="30" t="s">
        <v>1005</v>
      </c>
      <c r="AM53" s="30" t="n">
        <v>0</v>
      </c>
      <c r="AN53" s="30" t="s">
        <v>1005</v>
      </c>
      <c r="AO53" s="30" t="n">
        <v>98.13</v>
      </c>
      <c r="AP53" s="30" t="s">
        <v>1006</v>
      </c>
      <c r="AQ53" s="30" t="n">
        <v>40.8</v>
      </c>
      <c r="AR53" s="30" t="s">
        <v>1005</v>
      </c>
      <c r="AS53" s="30" t="n">
        <v>77.81</v>
      </c>
      <c r="AT53" s="30" t="s">
        <v>1005</v>
      </c>
      <c r="AU53" s="30" t="n">
        <v>653.06</v>
      </c>
      <c r="AV53" s="30" t="n">
        <v>0.374</v>
      </c>
      <c r="AW53" s="30" t="s">
        <v>1013</v>
      </c>
      <c r="AX53" s="30" t="s">
        <v>1008</v>
      </c>
      <c r="AY53" s="30" t="n">
        <v>1</v>
      </c>
      <c r="AZ53" s="30"/>
    </row>
    <row collapsed="false" customFormat="true" customHeight="true" hidden="false" ht="33" outlineLevel="0" r="54" s="73">
      <c r="A54" s="30" t="n">
        <v>49</v>
      </c>
      <c r="B54" s="30" t="s">
        <v>125</v>
      </c>
      <c r="C54" s="30" t="s">
        <v>1009</v>
      </c>
      <c r="D54" s="30" t="s">
        <v>999</v>
      </c>
      <c r="E54" s="30" t="s">
        <v>1010</v>
      </c>
      <c r="F54" s="30" t="s">
        <v>1011</v>
      </c>
      <c r="G54" s="30" t="s">
        <v>1002</v>
      </c>
      <c r="H54" s="30" t="s">
        <v>1003</v>
      </c>
      <c r="I54" s="30" t="n">
        <v>1</v>
      </c>
      <c r="J54" s="30"/>
      <c r="K54" s="30" t="n">
        <v>76</v>
      </c>
      <c r="L54" s="30"/>
      <c r="M54" s="30" t="s">
        <v>1012</v>
      </c>
      <c r="N54" s="30" t="s">
        <v>54</v>
      </c>
      <c r="O54" s="30"/>
      <c r="P54" s="30"/>
      <c r="Q54" s="30"/>
      <c r="R54" s="30"/>
      <c r="S54" s="30"/>
      <c r="T54" s="30"/>
      <c r="U54" s="30" t="n">
        <v>719.29</v>
      </c>
      <c r="V54" s="30" t="n">
        <v>873.39</v>
      </c>
      <c r="W54" s="30" t="n">
        <v>108.62</v>
      </c>
      <c r="X54" s="30" t="s">
        <v>1005</v>
      </c>
      <c r="Y54" s="30" t="n">
        <v>73.13</v>
      </c>
      <c r="Z54" s="30" t="s">
        <v>1005</v>
      </c>
      <c r="AA54" s="30" t="n">
        <v>132.18</v>
      </c>
      <c r="AB54" s="30" t="s">
        <v>1005</v>
      </c>
      <c r="AC54" s="30" t="n">
        <v>49.99</v>
      </c>
      <c r="AD54" s="30" t="s">
        <v>1005</v>
      </c>
      <c r="AE54" s="30" t="n">
        <v>28.16</v>
      </c>
      <c r="AF54" s="30" t="s">
        <v>1005</v>
      </c>
      <c r="AG54" s="30" t="n">
        <v>0</v>
      </c>
      <c r="AH54" s="30" t="s">
        <v>1005</v>
      </c>
      <c r="AI54" s="30" t="n">
        <v>0</v>
      </c>
      <c r="AJ54" s="30" t="s">
        <v>1005</v>
      </c>
      <c r="AK54" s="30" t="n">
        <v>0</v>
      </c>
      <c r="AL54" s="30" t="s">
        <v>1005</v>
      </c>
      <c r="AM54" s="30" t="n">
        <v>0</v>
      </c>
      <c r="AN54" s="30" t="s">
        <v>1005</v>
      </c>
      <c r="AO54" s="30" t="n">
        <v>94.64</v>
      </c>
      <c r="AP54" s="30" t="s">
        <v>1006</v>
      </c>
      <c r="AQ54" s="30" t="n">
        <v>54.28</v>
      </c>
      <c r="AR54" s="30" t="s">
        <v>1005</v>
      </c>
      <c r="AS54" s="30" t="n">
        <v>119.36</v>
      </c>
      <c r="AT54" s="30" t="s">
        <v>1005</v>
      </c>
      <c r="AU54" s="30" t="n">
        <v>660.36</v>
      </c>
      <c r="AV54" s="30" t="n">
        <v>0.431</v>
      </c>
      <c r="AW54" s="30" t="s">
        <v>1013</v>
      </c>
      <c r="AX54" s="30" t="s">
        <v>1008</v>
      </c>
      <c r="AY54" s="30" t="n">
        <v>1</v>
      </c>
      <c r="AZ54" s="30"/>
    </row>
    <row collapsed="false" customFormat="true" customHeight="true" hidden="false" ht="33" outlineLevel="0" r="55" s="73">
      <c r="A55" s="30" t="n">
        <v>50</v>
      </c>
      <c r="B55" s="30" t="s">
        <v>126</v>
      </c>
      <c r="C55" s="30" t="s">
        <v>1009</v>
      </c>
      <c r="D55" s="30" t="s">
        <v>999</v>
      </c>
      <c r="E55" s="30" t="s">
        <v>1010</v>
      </c>
      <c r="F55" s="30" t="s">
        <v>1011</v>
      </c>
      <c r="G55" s="30" t="s">
        <v>1002</v>
      </c>
      <c r="H55" s="30" t="s">
        <v>1003</v>
      </c>
      <c r="I55" s="30" t="n">
        <v>1</v>
      </c>
      <c r="J55" s="30"/>
      <c r="K55" s="30" t="n">
        <v>89</v>
      </c>
      <c r="L55" s="30"/>
      <c r="M55" s="30" t="s">
        <v>1012</v>
      </c>
      <c r="N55" s="30" t="s">
        <v>54</v>
      </c>
      <c r="O55" s="30"/>
      <c r="P55" s="30"/>
      <c r="Q55" s="30"/>
      <c r="R55" s="30"/>
      <c r="S55" s="30"/>
      <c r="T55" s="30"/>
      <c r="U55" s="30" t="n">
        <v>614.35</v>
      </c>
      <c r="V55" s="30" t="n">
        <v>701.34</v>
      </c>
      <c r="W55" s="30" t="n">
        <v>82.28</v>
      </c>
      <c r="X55" s="30" t="s">
        <v>1006</v>
      </c>
      <c r="Y55" s="30" t="n">
        <v>79.15</v>
      </c>
      <c r="Z55" s="30" t="s">
        <v>1005</v>
      </c>
      <c r="AA55" s="30" t="n">
        <v>106.8</v>
      </c>
      <c r="AB55" s="30" t="s">
        <v>1005</v>
      </c>
      <c r="AC55" s="30" t="n">
        <v>42.13</v>
      </c>
      <c r="AD55" s="30" t="s">
        <v>1005</v>
      </c>
      <c r="AE55" s="30" t="n">
        <v>23.89</v>
      </c>
      <c r="AF55" s="30" t="s">
        <v>1005</v>
      </c>
      <c r="AG55" s="30" t="n">
        <v>0</v>
      </c>
      <c r="AH55" s="30" t="s">
        <v>1005</v>
      </c>
      <c r="AI55" s="30" t="n">
        <v>0</v>
      </c>
      <c r="AJ55" s="30" t="s">
        <v>1005</v>
      </c>
      <c r="AK55" s="30" t="n">
        <v>0</v>
      </c>
      <c r="AL55" s="30" t="s">
        <v>1005</v>
      </c>
      <c r="AM55" s="30" t="n">
        <v>0</v>
      </c>
      <c r="AN55" s="30" t="s">
        <v>1005</v>
      </c>
      <c r="AO55" s="30" t="n">
        <v>51.13</v>
      </c>
      <c r="AP55" s="30" t="s">
        <v>1005</v>
      </c>
      <c r="AQ55" s="30" t="n">
        <v>54.65</v>
      </c>
      <c r="AR55" s="30" t="s">
        <v>1005</v>
      </c>
      <c r="AS55" s="30" t="n">
        <v>79.74</v>
      </c>
      <c r="AT55" s="30" t="s">
        <v>1005</v>
      </c>
      <c r="AU55" s="30" t="n">
        <v>519.77</v>
      </c>
      <c r="AV55" s="30" t="n">
        <v>0.365</v>
      </c>
      <c r="AW55" s="30" t="s">
        <v>1013</v>
      </c>
      <c r="AX55" s="30" t="s">
        <v>1008</v>
      </c>
      <c r="AY55" s="30" t="n">
        <v>1</v>
      </c>
      <c r="AZ55" s="30"/>
    </row>
    <row collapsed="false" customFormat="true" customHeight="true" hidden="false" ht="33" outlineLevel="0" r="56" s="73">
      <c r="A56" s="30" t="n">
        <v>51</v>
      </c>
      <c r="B56" s="30" t="s">
        <v>127</v>
      </c>
      <c r="C56" s="30" t="s">
        <v>1009</v>
      </c>
      <c r="D56" s="30" t="s">
        <v>999</v>
      </c>
      <c r="E56" s="30" t="s">
        <v>1010</v>
      </c>
      <c r="F56" s="30" t="s">
        <v>1011</v>
      </c>
      <c r="G56" s="30" t="s">
        <v>1002</v>
      </c>
      <c r="H56" s="30" t="s">
        <v>1003</v>
      </c>
      <c r="I56" s="30" t="n">
        <v>1</v>
      </c>
      <c r="J56" s="30"/>
      <c r="K56" s="30" t="n">
        <v>76</v>
      </c>
      <c r="L56" s="30"/>
      <c r="M56" s="30" t="s">
        <v>1012</v>
      </c>
      <c r="N56" s="30" t="s">
        <v>54</v>
      </c>
      <c r="O56" s="30"/>
      <c r="P56" s="30"/>
      <c r="Q56" s="30"/>
      <c r="R56" s="30"/>
      <c r="S56" s="30"/>
      <c r="T56" s="30"/>
      <c r="U56" s="30" t="n">
        <v>472.82</v>
      </c>
      <c r="V56" s="30" t="n">
        <v>427.57</v>
      </c>
      <c r="W56" s="30" t="n">
        <v>49.29</v>
      </c>
      <c r="X56" s="30" t="s">
        <v>1006</v>
      </c>
      <c r="Y56" s="30" t="n">
        <v>61.79</v>
      </c>
      <c r="Z56" s="30" t="s">
        <v>1005</v>
      </c>
      <c r="AA56" s="30" t="n">
        <v>49.29</v>
      </c>
      <c r="AB56" s="30" t="s">
        <v>1006</v>
      </c>
      <c r="AC56" s="30" t="n">
        <v>32.43</v>
      </c>
      <c r="AD56" s="30" t="s">
        <v>1005</v>
      </c>
      <c r="AE56" s="30" t="n">
        <v>14.32</v>
      </c>
      <c r="AF56" s="30" t="s">
        <v>1006</v>
      </c>
      <c r="AG56" s="30" t="n">
        <v>0</v>
      </c>
      <c r="AH56" s="30" t="s">
        <v>1006</v>
      </c>
      <c r="AI56" s="30" t="n">
        <v>0</v>
      </c>
      <c r="AJ56" s="30" t="s">
        <v>1006</v>
      </c>
      <c r="AK56" s="30" t="n">
        <v>0</v>
      </c>
      <c r="AL56" s="30" t="s">
        <v>1006</v>
      </c>
      <c r="AM56" s="30" t="n">
        <v>0</v>
      </c>
      <c r="AN56" s="30" t="s">
        <v>1006</v>
      </c>
      <c r="AO56" s="30" t="n">
        <v>44.12</v>
      </c>
      <c r="AP56" s="30" t="s">
        <v>1005</v>
      </c>
      <c r="AQ56" s="30" t="n">
        <v>37.22</v>
      </c>
      <c r="AR56" s="30" t="s">
        <v>1005</v>
      </c>
      <c r="AS56" s="30" t="n">
        <v>55.84</v>
      </c>
      <c r="AT56" s="30" t="s">
        <v>1005</v>
      </c>
      <c r="AU56" s="30" t="n">
        <v>344.3</v>
      </c>
      <c r="AV56" s="30" t="n">
        <v>0.281</v>
      </c>
      <c r="AW56" s="30" t="s">
        <v>1013</v>
      </c>
      <c r="AX56" s="30" t="s">
        <v>1008</v>
      </c>
      <c r="AY56" s="30" t="n">
        <v>1</v>
      </c>
      <c r="AZ56" s="30"/>
    </row>
    <row collapsed="false" customFormat="true" customHeight="true" hidden="false" ht="33" outlineLevel="0" r="57" s="73">
      <c r="A57" s="30" t="n">
        <v>52</v>
      </c>
      <c r="B57" s="30" t="s">
        <v>128</v>
      </c>
      <c r="C57" s="30" t="s">
        <v>1009</v>
      </c>
      <c r="D57" s="30" t="s">
        <v>999</v>
      </c>
      <c r="E57" s="30" t="s">
        <v>1010</v>
      </c>
      <c r="F57" s="30" t="s">
        <v>1011</v>
      </c>
      <c r="G57" s="30" t="s">
        <v>1002</v>
      </c>
      <c r="H57" s="30" t="s">
        <v>1003</v>
      </c>
      <c r="I57" s="30" t="n">
        <v>1</v>
      </c>
      <c r="J57" s="30"/>
      <c r="K57" s="30" t="n">
        <v>76</v>
      </c>
      <c r="L57" s="30"/>
      <c r="M57" s="30" t="s">
        <v>1012</v>
      </c>
      <c r="N57" s="30" t="s">
        <v>54</v>
      </c>
      <c r="O57" s="30"/>
      <c r="P57" s="30"/>
      <c r="Q57" s="30"/>
      <c r="R57" s="30"/>
      <c r="S57" s="30"/>
      <c r="T57" s="30"/>
      <c r="U57" s="30" t="n">
        <v>621.71</v>
      </c>
      <c r="V57" s="30" t="n">
        <v>585.95</v>
      </c>
      <c r="W57" s="30" t="n">
        <v>131.33</v>
      </c>
      <c r="X57" s="30" t="s">
        <v>1005</v>
      </c>
      <c r="Y57" s="30" t="n">
        <v>94.81</v>
      </c>
      <c r="Z57" s="30" t="s">
        <v>1005</v>
      </c>
      <c r="AA57" s="30" t="n">
        <v>88.79</v>
      </c>
      <c r="AB57" s="30" t="s">
        <v>1005</v>
      </c>
      <c r="AC57" s="30" t="n">
        <v>51.74</v>
      </c>
      <c r="AD57" s="30" t="s">
        <v>1005</v>
      </c>
      <c r="AE57" s="30" t="n">
        <v>26.57</v>
      </c>
      <c r="AF57" s="30" t="s">
        <v>1005</v>
      </c>
      <c r="AG57" s="30" t="n">
        <v>0</v>
      </c>
      <c r="AH57" s="30" t="s">
        <v>1005</v>
      </c>
      <c r="AI57" s="30" t="n">
        <v>0</v>
      </c>
      <c r="AJ57" s="30" t="s">
        <v>1005</v>
      </c>
      <c r="AK57" s="30" t="n">
        <v>0</v>
      </c>
      <c r="AL57" s="30" t="s">
        <v>1005</v>
      </c>
      <c r="AM57" s="30" t="n">
        <v>0</v>
      </c>
      <c r="AN57" s="30" t="s">
        <v>1005</v>
      </c>
      <c r="AO57" s="30" t="n">
        <v>64.14</v>
      </c>
      <c r="AP57" s="30" t="s">
        <v>1005</v>
      </c>
      <c r="AQ57" s="30" t="n">
        <v>60.05</v>
      </c>
      <c r="AR57" s="30" t="s">
        <v>1005</v>
      </c>
      <c r="AS57" s="30" t="n">
        <v>87.38</v>
      </c>
      <c r="AT57" s="30" t="s">
        <v>1005</v>
      </c>
      <c r="AU57" s="30" t="n">
        <v>604.81</v>
      </c>
      <c r="AV57" s="30" t="n">
        <v>0.389</v>
      </c>
      <c r="AW57" s="30" t="s">
        <v>1013</v>
      </c>
      <c r="AX57" s="30" t="s">
        <v>1008</v>
      </c>
      <c r="AY57" s="30" t="n">
        <v>1</v>
      </c>
      <c r="AZ57" s="30"/>
    </row>
    <row collapsed="false" customFormat="true" customHeight="true" hidden="false" ht="33" outlineLevel="0" r="58" s="73">
      <c r="A58" s="30" t="n">
        <v>53</v>
      </c>
      <c r="B58" s="30" t="s">
        <v>135</v>
      </c>
      <c r="C58" s="30" t="s">
        <v>1009</v>
      </c>
      <c r="D58" s="30" t="s">
        <v>999</v>
      </c>
      <c r="E58" s="30" t="s">
        <v>1010</v>
      </c>
      <c r="F58" s="30" t="s">
        <v>1011</v>
      </c>
      <c r="G58" s="30" t="s">
        <v>1002</v>
      </c>
      <c r="H58" s="30" t="s">
        <v>1003</v>
      </c>
      <c r="I58" s="30" t="n">
        <v>0</v>
      </c>
      <c r="J58" s="30"/>
      <c r="K58" s="30" t="n">
        <v>32</v>
      </c>
      <c r="L58" s="30"/>
      <c r="M58" s="30" t="s">
        <v>1015</v>
      </c>
      <c r="N58" s="30" t="s">
        <v>54</v>
      </c>
      <c r="O58" s="30"/>
      <c r="P58" s="30"/>
      <c r="Q58" s="30"/>
      <c r="R58" s="30"/>
      <c r="S58" s="30"/>
      <c r="T58" s="30"/>
      <c r="U58" s="30" t="n">
        <v>109.25</v>
      </c>
      <c r="V58" s="30" t="n">
        <v>116.64</v>
      </c>
      <c r="W58" s="30" t="n">
        <v>17.63</v>
      </c>
      <c r="X58" s="30" t="s">
        <v>1006</v>
      </c>
      <c r="Y58" s="30" t="n">
        <v>17.23</v>
      </c>
      <c r="Z58" s="30" t="s">
        <v>1006</v>
      </c>
      <c r="AA58" s="30" t="n">
        <v>17.58</v>
      </c>
      <c r="AB58" s="30" t="s">
        <v>1006</v>
      </c>
      <c r="AC58" s="30" t="n">
        <v>16.98</v>
      </c>
      <c r="AD58" s="30" t="s">
        <v>1006</v>
      </c>
      <c r="AE58" s="30" t="n">
        <v>4.96</v>
      </c>
      <c r="AF58" s="30" t="s">
        <v>1006</v>
      </c>
      <c r="AG58" s="30" t="n">
        <v>0</v>
      </c>
      <c r="AH58" s="30" t="s">
        <v>1006</v>
      </c>
      <c r="AI58" s="30" t="n">
        <v>0</v>
      </c>
      <c r="AJ58" s="30" t="s">
        <v>1006</v>
      </c>
      <c r="AK58" s="30" t="n">
        <v>0</v>
      </c>
      <c r="AL58" s="30" t="s">
        <v>1006</v>
      </c>
      <c r="AM58" s="30" t="n">
        <v>0</v>
      </c>
      <c r="AN58" s="30" t="s">
        <v>1006</v>
      </c>
      <c r="AO58" s="30" t="n">
        <v>16.41</v>
      </c>
      <c r="AP58" s="30" t="s">
        <v>1006</v>
      </c>
      <c r="AQ58" s="30" t="n">
        <v>16.43</v>
      </c>
      <c r="AR58" s="30" t="s">
        <v>1006</v>
      </c>
      <c r="AS58" s="30" t="n">
        <v>16.69</v>
      </c>
      <c r="AT58" s="30" t="s">
        <v>1006</v>
      </c>
      <c r="AU58" s="30" t="n">
        <v>123.91</v>
      </c>
      <c r="AV58" s="30" t="n">
        <v>0.066</v>
      </c>
      <c r="AW58" s="30" t="s">
        <v>1016</v>
      </c>
      <c r="AX58" s="30" t="s">
        <v>1008</v>
      </c>
      <c r="AY58" s="30" t="n">
        <v>1</v>
      </c>
      <c r="AZ58" s="30"/>
    </row>
    <row collapsed="false" customFormat="true" customHeight="true" hidden="false" ht="33" outlineLevel="0" r="59" s="73">
      <c r="A59" s="30" t="n">
        <v>54</v>
      </c>
      <c r="B59" s="30" t="s">
        <v>136</v>
      </c>
      <c r="C59" s="30" t="s">
        <v>1009</v>
      </c>
      <c r="D59" s="30" t="s">
        <v>999</v>
      </c>
      <c r="E59" s="30" t="s">
        <v>1010</v>
      </c>
      <c r="F59" s="30" t="s">
        <v>1011</v>
      </c>
      <c r="G59" s="30" t="s">
        <v>1002</v>
      </c>
      <c r="H59" s="30" t="s">
        <v>1003</v>
      </c>
      <c r="I59" s="30" t="n">
        <v>0</v>
      </c>
      <c r="J59" s="30"/>
      <c r="K59" s="30" t="n">
        <v>32</v>
      </c>
      <c r="L59" s="30"/>
      <c r="M59" s="30" t="s">
        <v>1015</v>
      </c>
      <c r="N59" s="30" t="s">
        <v>54</v>
      </c>
      <c r="O59" s="30"/>
      <c r="P59" s="30"/>
      <c r="Q59" s="30"/>
      <c r="R59" s="30"/>
      <c r="S59" s="30"/>
      <c r="T59" s="30"/>
      <c r="U59" s="30" t="n">
        <v>101.21</v>
      </c>
      <c r="V59" s="30" t="n">
        <v>116.48</v>
      </c>
      <c r="W59" s="30" t="n">
        <v>15.72</v>
      </c>
      <c r="X59" s="30" t="s">
        <v>1006</v>
      </c>
      <c r="Y59" s="30" t="n">
        <v>15.6</v>
      </c>
      <c r="Z59" s="30" t="s">
        <v>1006</v>
      </c>
      <c r="AA59" s="30" t="n">
        <v>15.7</v>
      </c>
      <c r="AB59" s="30" t="s">
        <v>1006</v>
      </c>
      <c r="AC59" s="30" t="n">
        <v>15.52</v>
      </c>
      <c r="AD59" s="30" t="s">
        <v>1006</v>
      </c>
      <c r="AE59" s="30" t="n">
        <v>4.51</v>
      </c>
      <c r="AF59" s="30" t="s">
        <v>1006</v>
      </c>
      <c r="AG59" s="30" t="n">
        <v>0</v>
      </c>
      <c r="AH59" s="30" t="s">
        <v>1006</v>
      </c>
      <c r="AI59" s="30" t="n">
        <v>0</v>
      </c>
      <c r="AJ59" s="30" t="s">
        <v>1006</v>
      </c>
      <c r="AK59" s="30" t="n">
        <v>0</v>
      </c>
      <c r="AL59" s="30" t="s">
        <v>1006</v>
      </c>
      <c r="AM59" s="30" t="n">
        <v>0</v>
      </c>
      <c r="AN59" s="30" t="s">
        <v>1006</v>
      </c>
      <c r="AO59" s="30" t="n">
        <v>15.1</v>
      </c>
      <c r="AP59" s="30" t="s">
        <v>1006</v>
      </c>
      <c r="AQ59" s="30" t="n">
        <v>15.11</v>
      </c>
      <c r="AR59" s="30" t="s">
        <v>1006</v>
      </c>
      <c r="AS59" s="30" t="n">
        <v>15.18</v>
      </c>
      <c r="AT59" s="30" t="s">
        <v>1006</v>
      </c>
      <c r="AU59" s="30" t="n">
        <v>112.44</v>
      </c>
      <c r="AV59" s="30" t="n">
        <v>0.066</v>
      </c>
      <c r="AW59" s="30" t="s">
        <v>1016</v>
      </c>
      <c r="AX59" s="30" t="s">
        <v>1008</v>
      </c>
      <c r="AY59" s="30" t="n">
        <v>1</v>
      </c>
      <c r="AZ59" s="30"/>
    </row>
    <row collapsed="false" customFormat="true" customHeight="true" hidden="false" ht="33" outlineLevel="0" r="60" s="73">
      <c r="A60" s="30" t="n">
        <v>55</v>
      </c>
      <c r="B60" s="30" t="s">
        <v>137</v>
      </c>
      <c r="C60" s="30" t="s">
        <v>1009</v>
      </c>
      <c r="D60" s="30" t="s">
        <v>999</v>
      </c>
      <c r="E60" s="30" t="s">
        <v>1000</v>
      </c>
      <c r="F60" s="30" t="s">
        <v>1011</v>
      </c>
      <c r="G60" s="30" t="s">
        <v>1002</v>
      </c>
      <c r="H60" s="30" t="s">
        <v>1003</v>
      </c>
      <c r="I60" s="30" t="n">
        <v>6</v>
      </c>
      <c r="J60" s="30"/>
      <c r="K60" s="30" t="n">
        <v>89</v>
      </c>
      <c r="L60" s="30"/>
      <c r="M60" s="30" t="s">
        <v>1017</v>
      </c>
      <c r="N60" s="30" t="s">
        <v>53</v>
      </c>
      <c r="O60" s="30"/>
      <c r="P60" s="30"/>
      <c r="Q60" s="30"/>
      <c r="R60" s="30"/>
      <c r="S60" s="30"/>
      <c r="T60" s="30"/>
      <c r="U60" s="30" t="n">
        <v>2931.39</v>
      </c>
      <c r="V60" s="30" t="n">
        <v>3741.139</v>
      </c>
      <c r="W60" s="30" t="n">
        <v>521.46</v>
      </c>
      <c r="X60" s="30" t="s">
        <v>1005</v>
      </c>
      <c r="Y60" s="30" t="n">
        <v>422.86</v>
      </c>
      <c r="Z60" s="30" t="s">
        <v>1005</v>
      </c>
      <c r="AA60" s="30" t="n">
        <v>526.12</v>
      </c>
      <c r="AB60" s="30" t="s">
        <v>1005</v>
      </c>
      <c r="AC60" s="30" t="n">
        <v>252.57</v>
      </c>
      <c r="AD60" s="30" t="s">
        <v>1005</v>
      </c>
      <c r="AE60" s="30" t="n">
        <v>161.82</v>
      </c>
      <c r="AF60" s="30" t="s">
        <v>1005</v>
      </c>
      <c r="AG60" s="30" t="n">
        <v>179.38</v>
      </c>
      <c r="AH60" s="30" t="s">
        <v>1005</v>
      </c>
      <c r="AI60" s="30" t="n">
        <v>86.59</v>
      </c>
      <c r="AJ60" s="30" t="s">
        <v>1005</v>
      </c>
      <c r="AK60" s="30" t="n">
        <v>109.44</v>
      </c>
      <c r="AL60" s="30" t="s">
        <v>1005</v>
      </c>
      <c r="AM60" s="30" t="n">
        <v>124.15</v>
      </c>
      <c r="AN60" s="30" t="s">
        <v>1005</v>
      </c>
      <c r="AO60" s="30" t="n">
        <v>288.15</v>
      </c>
      <c r="AP60" s="30" t="s">
        <v>1005</v>
      </c>
      <c r="AQ60" s="30" t="n">
        <v>288.79</v>
      </c>
      <c r="AR60" s="30" t="s">
        <v>1005</v>
      </c>
      <c r="AS60" s="30" t="n">
        <v>343.52</v>
      </c>
      <c r="AT60" s="30" t="s">
        <v>1005</v>
      </c>
      <c r="AU60" s="30" t="n">
        <v>3304.85</v>
      </c>
      <c r="AV60" s="30" t="n">
        <v>0.992617</v>
      </c>
      <c r="AW60" s="30" t="s">
        <v>1018</v>
      </c>
      <c r="AX60" s="30" t="s">
        <v>1008</v>
      </c>
      <c r="AY60" s="30" t="n">
        <v>5</v>
      </c>
      <c r="AZ60" s="30"/>
    </row>
    <row collapsed="false" customFormat="true" customHeight="true" hidden="false" ht="33" outlineLevel="0" r="61" s="73">
      <c r="A61" s="30" t="n">
        <v>56</v>
      </c>
      <c r="B61" s="30" t="s">
        <v>140</v>
      </c>
      <c r="C61" s="30" t="s">
        <v>1009</v>
      </c>
      <c r="D61" s="30" t="s">
        <v>999</v>
      </c>
      <c r="E61" s="30" t="s">
        <v>1000</v>
      </c>
      <c r="F61" s="30" t="s">
        <v>1011</v>
      </c>
      <c r="G61" s="30" t="s">
        <v>1002</v>
      </c>
      <c r="H61" s="30" t="s">
        <v>1003</v>
      </c>
      <c r="I61" s="30" t="n">
        <v>3</v>
      </c>
      <c r="J61" s="30"/>
      <c r="K61" s="30" t="n">
        <v>89</v>
      </c>
      <c r="L61" s="30"/>
      <c r="M61" s="30" t="s">
        <v>1017</v>
      </c>
      <c r="N61" s="30" t="s">
        <v>53</v>
      </c>
      <c r="O61" s="30"/>
      <c r="P61" s="30"/>
      <c r="Q61" s="30"/>
      <c r="R61" s="30"/>
      <c r="S61" s="30"/>
      <c r="T61" s="30"/>
      <c r="U61" s="30" t="n">
        <v>1360.65</v>
      </c>
      <c r="V61" s="30" t="n">
        <v>1819.695</v>
      </c>
      <c r="W61" s="30" t="n">
        <v>217.98</v>
      </c>
      <c r="X61" s="30" t="s">
        <v>1005</v>
      </c>
      <c r="Y61" s="30" t="n">
        <v>152.48</v>
      </c>
      <c r="Z61" s="30" t="s">
        <v>1005</v>
      </c>
      <c r="AA61" s="30" t="n">
        <v>209.17</v>
      </c>
      <c r="AB61" s="30" t="s">
        <v>1005</v>
      </c>
      <c r="AC61" s="30" t="n">
        <v>96.61</v>
      </c>
      <c r="AD61" s="30" t="s">
        <v>1005</v>
      </c>
      <c r="AE61" s="30" t="n">
        <v>61.36</v>
      </c>
      <c r="AF61" s="30" t="s">
        <v>1005</v>
      </c>
      <c r="AG61" s="30" t="n">
        <v>64.62</v>
      </c>
      <c r="AH61" s="30" t="s">
        <v>1005</v>
      </c>
      <c r="AI61" s="30" t="n">
        <v>31.45</v>
      </c>
      <c r="AJ61" s="30" t="s">
        <v>1005</v>
      </c>
      <c r="AK61" s="30" t="n">
        <v>64.62</v>
      </c>
      <c r="AL61" s="30" t="s">
        <v>1005</v>
      </c>
      <c r="AM61" s="30" t="n">
        <v>35.09</v>
      </c>
      <c r="AN61" s="30" t="s">
        <v>1005</v>
      </c>
      <c r="AO61" s="30" t="n">
        <v>113.36</v>
      </c>
      <c r="AP61" s="30" t="s">
        <v>1005</v>
      </c>
      <c r="AQ61" s="30" t="n">
        <v>114.18</v>
      </c>
      <c r="AR61" s="30" t="s">
        <v>1005</v>
      </c>
      <c r="AS61" s="30" t="n">
        <v>148.43</v>
      </c>
      <c r="AT61" s="30" t="s">
        <v>1005</v>
      </c>
      <c r="AU61" s="30" t="n">
        <v>1309.35</v>
      </c>
      <c r="AV61" s="30" t="n">
        <v>0.39989</v>
      </c>
      <c r="AW61" s="30" t="s">
        <v>1018</v>
      </c>
      <c r="AX61" s="30" t="s">
        <v>1008</v>
      </c>
      <c r="AY61" s="30" t="n">
        <v>2</v>
      </c>
      <c r="AZ61" s="30"/>
    </row>
    <row collapsed="false" customFormat="true" customHeight="true" hidden="false" ht="33" outlineLevel="0" r="62" s="73">
      <c r="A62" s="30" t="n">
        <v>57</v>
      </c>
      <c r="B62" s="30" t="s">
        <v>130</v>
      </c>
      <c r="C62" s="30" t="s">
        <v>1009</v>
      </c>
      <c r="D62" s="30" t="s">
        <v>999</v>
      </c>
      <c r="E62" s="30" t="s">
        <v>1010</v>
      </c>
      <c r="F62" s="30" t="s">
        <v>1019</v>
      </c>
      <c r="G62" s="30" t="s">
        <v>1002</v>
      </c>
      <c r="H62" s="30" t="s">
        <v>1003</v>
      </c>
      <c r="I62" s="30" t="n">
        <v>2</v>
      </c>
      <c r="J62" s="30"/>
      <c r="K62" s="30" t="n">
        <v>80</v>
      </c>
      <c r="L62" s="30"/>
      <c r="M62" s="30" t="s">
        <v>1017</v>
      </c>
      <c r="N62" s="30" t="s">
        <v>53</v>
      </c>
      <c r="O62" s="30"/>
      <c r="P62" s="30"/>
      <c r="Q62" s="30"/>
      <c r="R62" s="30"/>
      <c r="S62" s="30"/>
      <c r="T62" s="30"/>
      <c r="U62" s="30" t="n">
        <v>876.758</v>
      </c>
      <c r="V62" s="30" t="n">
        <v>1046.357</v>
      </c>
      <c r="W62" s="30" t="n">
        <v>202.872</v>
      </c>
      <c r="X62" s="30"/>
      <c r="Y62" s="30" t="n">
        <v>141.159</v>
      </c>
      <c r="Z62" s="30"/>
      <c r="AA62" s="30" t="n">
        <v>191.463</v>
      </c>
      <c r="AB62" s="30"/>
      <c r="AC62" s="30" t="n">
        <v>97.388</v>
      </c>
      <c r="AD62" s="30"/>
      <c r="AE62" s="30" t="n">
        <v>0</v>
      </c>
      <c r="AF62" s="30"/>
      <c r="AG62" s="30" t="n">
        <v>0</v>
      </c>
      <c r="AH62" s="30"/>
      <c r="AI62" s="30" t="n">
        <v>0</v>
      </c>
      <c r="AJ62" s="30"/>
      <c r="AK62" s="30" t="n">
        <v>0</v>
      </c>
      <c r="AL62" s="30"/>
      <c r="AM62" s="30" t="n">
        <v>0</v>
      </c>
      <c r="AN62" s="30"/>
      <c r="AO62" s="30" t="n">
        <v>63.061</v>
      </c>
      <c r="AP62" s="30"/>
      <c r="AQ62" s="30" t="n">
        <v>67.99</v>
      </c>
      <c r="AR62" s="30"/>
      <c r="AS62" s="30" t="n">
        <v>116.905</v>
      </c>
      <c r="AT62" s="30"/>
      <c r="AU62" s="30" t="n">
        <v>880.838</v>
      </c>
      <c r="AV62" s="30" t="n">
        <v>0.381</v>
      </c>
      <c r="AW62" s="30" t="s">
        <v>1007</v>
      </c>
      <c r="AX62" s="30" t="s">
        <v>1008</v>
      </c>
      <c r="AY62" s="30" t="n">
        <v>2</v>
      </c>
      <c r="AZ62" s="30"/>
    </row>
    <row collapsed="false" customFormat="true" customHeight="true" hidden="false" ht="33" outlineLevel="0" r="63" s="73">
      <c r="A63" s="30" t="n">
        <v>58</v>
      </c>
      <c r="B63" s="30" t="s">
        <v>142</v>
      </c>
      <c r="C63" s="30" t="s">
        <v>1009</v>
      </c>
      <c r="D63" s="30" t="s">
        <v>999</v>
      </c>
      <c r="E63" s="30" t="s">
        <v>1000</v>
      </c>
      <c r="F63" s="30" t="s">
        <v>1011</v>
      </c>
      <c r="G63" s="30" t="s">
        <v>1002</v>
      </c>
      <c r="H63" s="30" t="s">
        <v>1003</v>
      </c>
      <c r="I63" s="30" t="n">
        <v>5</v>
      </c>
      <c r="J63" s="30"/>
      <c r="K63" s="30" t="n">
        <v>89</v>
      </c>
      <c r="L63" s="30"/>
      <c r="M63" s="30" t="s">
        <v>1017</v>
      </c>
      <c r="N63" s="30" t="s">
        <v>53</v>
      </c>
      <c r="O63" s="30"/>
      <c r="P63" s="30"/>
      <c r="Q63" s="30"/>
      <c r="R63" s="30"/>
      <c r="S63" s="30"/>
      <c r="T63" s="30"/>
      <c r="U63" s="30" t="n">
        <v>2491.86</v>
      </c>
      <c r="V63" s="30" t="n">
        <v>3106.234</v>
      </c>
      <c r="W63" s="30" t="n">
        <v>506.81</v>
      </c>
      <c r="X63" s="30" t="s">
        <v>1005</v>
      </c>
      <c r="Y63" s="30" t="n">
        <v>311.35</v>
      </c>
      <c r="Z63" s="30" t="s">
        <v>1005</v>
      </c>
      <c r="AA63" s="30" t="n">
        <v>477.49</v>
      </c>
      <c r="AB63" s="30" t="s">
        <v>1005</v>
      </c>
      <c r="AC63" s="30" t="n">
        <v>209.69</v>
      </c>
      <c r="AD63" s="30" t="s">
        <v>1005</v>
      </c>
      <c r="AE63" s="30" t="n">
        <v>145.33</v>
      </c>
      <c r="AF63" s="30" t="s">
        <v>1005</v>
      </c>
      <c r="AG63" s="30" t="n">
        <v>140.74</v>
      </c>
      <c r="AH63" s="30" t="s">
        <v>1005</v>
      </c>
      <c r="AI63" s="30" t="n">
        <v>70.02</v>
      </c>
      <c r="AJ63" s="30" t="s">
        <v>1005</v>
      </c>
      <c r="AK63" s="30" t="n">
        <v>84.41</v>
      </c>
      <c r="AL63" s="30" t="s">
        <v>1005</v>
      </c>
      <c r="AM63" s="30" t="n">
        <v>96.65</v>
      </c>
      <c r="AN63" s="30" t="s">
        <v>1005</v>
      </c>
      <c r="AO63" s="30" t="n">
        <v>234.63</v>
      </c>
      <c r="AP63" s="30" t="s">
        <v>1005</v>
      </c>
      <c r="AQ63" s="30" t="n">
        <v>247.34</v>
      </c>
      <c r="AR63" s="30" t="s">
        <v>1005</v>
      </c>
      <c r="AS63" s="30" t="n">
        <v>322.06</v>
      </c>
      <c r="AT63" s="30" t="s">
        <v>1005</v>
      </c>
      <c r="AU63" s="30" t="n">
        <v>2846.52</v>
      </c>
      <c r="AV63" s="30" t="n">
        <v>0.891892</v>
      </c>
      <c r="AW63" s="30" t="s">
        <v>1018</v>
      </c>
      <c r="AX63" s="30" t="s">
        <v>1008</v>
      </c>
      <c r="AY63" s="30" t="n">
        <v>4</v>
      </c>
      <c r="AZ63" s="30"/>
    </row>
    <row collapsed="false" customFormat="true" customHeight="true" hidden="false" ht="33" outlineLevel="0" r="64" s="73">
      <c r="A64" s="30" t="n">
        <v>59</v>
      </c>
      <c r="B64" s="30" t="s">
        <v>145</v>
      </c>
      <c r="C64" s="30" t="s">
        <v>1009</v>
      </c>
      <c r="D64" s="30" t="s">
        <v>999</v>
      </c>
      <c r="E64" s="30" t="s">
        <v>1010</v>
      </c>
      <c r="F64" s="30" t="s">
        <v>1001</v>
      </c>
      <c r="G64" s="30" t="s">
        <v>1002</v>
      </c>
      <c r="H64" s="30" t="s">
        <v>1003</v>
      </c>
      <c r="I64" s="30" t="n">
        <v>1</v>
      </c>
      <c r="J64" s="30"/>
      <c r="K64" s="30" t="n">
        <v>80</v>
      </c>
      <c r="L64" s="30" t="n">
        <v>5.5</v>
      </c>
      <c r="M64" s="30" t="s">
        <v>1015</v>
      </c>
      <c r="N64" s="30" t="s">
        <v>53</v>
      </c>
      <c r="O64" s="30"/>
      <c r="P64" s="30"/>
      <c r="Q64" s="30"/>
      <c r="R64" s="30"/>
      <c r="S64" s="30"/>
      <c r="T64" s="30"/>
      <c r="U64" s="30" t="n">
        <v>536.66</v>
      </c>
      <c r="V64" s="30" t="n">
        <v>670.81</v>
      </c>
      <c r="W64" s="30" t="n">
        <v>57</v>
      </c>
      <c r="X64" s="30" t="s">
        <v>1006</v>
      </c>
      <c r="Y64" s="30" t="n">
        <v>57</v>
      </c>
      <c r="Z64" s="30" t="s">
        <v>1005</v>
      </c>
      <c r="AA64" s="30" t="n">
        <v>57</v>
      </c>
      <c r="AB64" s="30" t="s">
        <v>1005</v>
      </c>
      <c r="AC64" s="30" t="n">
        <v>57</v>
      </c>
      <c r="AD64" s="30" t="s">
        <v>1005</v>
      </c>
      <c r="AE64" s="30" t="n">
        <v>16.55</v>
      </c>
      <c r="AF64" s="30" t="s">
        <v>1005</v>
      </c>
      <c r="AG64" s="30" t="n">
        <v>0</v>
      </c>
      <c r="AH64" s="30" t="s">
        <v>1006</v>
      </c>
      <c r="AI64" s="30" t="n">
        <v>0</v>
      </c>
      <c r="AJ64" s="30" t="s">
        <v>1006</v>
      </c>
      <c r="AK64" s="30" t="n">
        <v>0</v>
      </c>
      <c r="AL64" s="30" t="s">
        <v>1006</v>
      </c>
      <c r="AM64" s="30" t="n">
        <v>14.99</v>
      </c>
      <c r="AN64" s="30" t="s">
        <v>1006</v>
      </c>
      <c r="AO64" s="30" t="n">
        <v>64.26</v>
      </c>
      <c r="AP64" s="30" t="s">
        <v>1005</v>
      </c>
      <c r="AQ64" s="30" t="n">
        <v>64.26</v>
      </c>
      <c r="AR64" s="30" t="s">
        <v>1005</v>
      </c>
      <c r="AS64" s="30" t="n">
        <v>35.94</v>
      </c>
      <c r="AT64" s="30" t="s">
        <v>1005</v>
      </c>
      <c r="AU64" s="30" t="n">
        <v>424</v>
      </c>
      <c r="AV64" s="30" t="n">
        <v>0.351</v>
      </c>
      <c r="AW64" s="30" t="s">
        <v>1016</v>
      </c>
      <c r="AX64" s="30" t="s">
        <v>1008</v>
      </c>
      <c r="AY64" s="30" t="n">
        <v>1</v>
      </c>
      <c r="AZ64" s="30"/>
    </row>
    <row collapsed="false" customFormat="true" customHeight="true" hidden="false" ht="33" outlineLevel="0" r="65" s="73">
      <c r="A65" s="30" t="n">
        <v>60</v>
      </c>
      <c r="B65" s="30" t="s">
        <v>146</v>
      </c>
      <c r="C65" s="30" t="s">
        <v>1009</v>
      </c>
      <c r="D65" s="30" t="s">
        <v>999</v>
      </c>
      <c r="E65" s="30" t="s">
        <v>1010</v>
      </c>
      <c r="F65" s="30" t="s">
        <v>1001</v>
      </c>
      <c r="G65" s="30" t="s">
        <v>1002</v>
      </c>
      <c r="H65" s="30" t="s">
        <v>1003</v>
      </c>
      <c r="I65" s="30" t="n">
        <v>1</v>
      </c>
      <c r="J65" s="30"/>
      <c r="K65" s="30" t="n">
        <v>80</v>
      </c>
      <c r="L65" s="30" t="n">
        <v>5.5</v>
      </c>
      <c r="M65" s="30" t="s">
        <v>1015</v>
      </c>
      <c r="N65" s="30" t="s">
        <v>53</v>
      </c>
      <c r="O65" s="30"/>
      <c r="P65" s="30"/>
      <c r="Q65" s="30"/>
      <c r="R65" s="30"/>
      <c r="S65" s="30"/>
      <c r="T65" s="30"/>
      <c r="U65" s="30" t="n">
        <v>904.89</v>
      </c>
      <c r="V65" s="30" t="n">
        <v>1049.97</v>
      </c>
      <c r="W65" s="30" t="n">
        <v>88.95</v>
      </c>
      <c r="X65" s="30" t="s">
        <v>1006</v>
      </c>
      <c r="Y65" s="30" t="n">
        <v>88.95</v>
      </c>
      <c r="Z65" s="30" t="s">
        <v>1005</v>
      </c>
      <c r="AA65" s="30" t="n">
        <v>88.95</v>
      </c>
      <c r="AB65" s="30" t="s">
        <v>1005</v>
      </c>
      <c r="AC65" s="30" t="n">
        <v>88.95</v>
      </c>
      <c r="AD65" s="30" t="s">
        <v>1005</v>
      </c>
      <c r="AE65" s="30" t="n">
        <v>25.82</v>
      </c>
      <c r="AF65" s="30" t="s">
        <v>1005</v>
      </c>
      <c r="AG65" s="30" t="n">
        <v>0</v>
      </c>
      <c r="AH65" s="30" t="s">
        <v>1006</v>
      </c>
      <c r="AI65" s="30" t="n">
        <v>0</v>
      </c>
      <c r="AJ65" s="30" t="s">
        <v>1006</v>
      </c>
      <c r="AK65" s="30" t="n">
        <v>0</v>
      </c>
      <c r="AL65" s="30" t="s">
        <v>1006</v>
      </c>
      <c r="AM65" s="30" t="n">
        <v>22.28</v>
      </c>
      <c r="AN65" s="30" t="s">
        <v>1006</v>
      </c>
      <c r="AO65" s="30" t="n">
        <v>95.49</v>
      </c>
      <c r="AP65" s="30" t="s">
        <v>1005</v>
      </c>
      <c r="AQ65" s="30" t="n">
        <v>39.91</v>
      </c>
      <c r="AR65" s="30" t="s">
        <v>1005</v>
      </c>
      <c r="AS65" s="30" t="n">
        <v>73.11</v>
      </c>
      <c r="AT65" s="30" t="s">
        <v>1005</v>
      </c>
      <c r="AU65" s="30" t="n">
        <v>612.41</v>
      </c>
      <c r="AV65" s="30" t="n">
        <v>0.58166</v>
      </c>
      <c r="AW65" s="30" t="s">
        <v>1016</v>
      </c>
      <c r="AX65" s="30" t="s">
        <v>1008</v>
      </c>
      <c r="AY65" s="30" t="n">
        <v>1</v>
      </c>
      <c r="AZ65" s="30"/>
    </row>
    <row collapsed="false" customFormat="true" customHeight="true" hidden="false" ht="33" outlineLevel="0" r="66" s="73">
      <c r="A66" s="30" t="n">
        <v>61</v>
      </c>
      <c r="B66" s="30" t="s">
        <v>147</v>
      </c>
      <c r="C66" s="30" t="s">
        <v>1009</v>
      </c>
      <c r="D66" s="30" t="s">
        <v>999</v>
      </c>
      <c r="E66" s="30" t="s">
        <v>1010</v>
      </c>
      <c r="F66" s="30" t="s">
        <v>1001</v>
      </c>
      <c r="G66" s="30" t="s">
        <v>1002</v>
      </c>
      <c r="H66" s="30" t="s">
        <v>1003</v>
      </c>
      <c r="I66" s="30" t="n">
        <v>1</v>
      </c>
      <c r="J66" s="30"/>
      <c r="K66" s="30" t="n">
        <v>80</v>
      </c>
      <c r="L66" s="30" t="n">
        <v>5.5</v>
      </c>
      <c r="M66" s="30" t="s">
        <v>1015</v>
      </c>
      <c r="N66" s="30" t="s">
        <v>53</v>
      </c>
      <c r="O66" s="30"/>
      <c r="P66" s="30"/>
      <c r="Q66" s="30"/>
      <c r="R66" s="30"/>
      <c r="S66" s="30"/>
      <c r="T66" s="30"/>
      <c r="U66" s="30" t="n">
        <v>516.79</v>
      </c>
      <c r="V66" s="30" t="n">
        <v>629.35</v>
      </c>
      <c r="W66" s="30" t="n">
        <v>56.39</v>
      </c>
      <c r="X66" s="30" t="s">
        <v>1006</v>
      </c>
      <c r="Y66" s="30" t="n">
        <v>56.39</v>
      </c>
      <c r="Z66" s="30" t="s">
        <v>1005</v>
      </c>
      <c r="AA66" s="30" t="n">
        <v>56.39</v>
      </c>
      <c r="AB66" s="30" t="s">
        <v>1005</v>
      </c>
      <c r="AC66" s="30" t="n">
        <v>56.39</v>
      </c>
      <c r="AD66" s="30" t="s">
        <v>1005</v>
      </c>
      <c r="AE66" s="30" t="n">
        <v>16.37</v>
      </c>
      <c r="AF66" s="30" t="s">
        <v>1005</v>
      </c>
      <c r="AG66" s="30" t="n">
        <v>0</v>
      </c>
      <c r="AH66" s="30" t="s">
        <v>1006</v>
      </c>
      <c r="AI66" s="30" t="n">
        <v>0</v>
      </c>
      <c r="AJ66" s="30" t="s">
        <v>1006</v>
      </c>
      <c r="AK66" s="30" t="n">
        <v>0</v>
      </c>
      <c r="AL66" s="30" t="s">
        <v>1006</v>
      </c>
      <c r="AM66" s="30" t="n">
        <v>14.13</v>
      </c>
      <c r="AN66" s="30" t="s">
        <v>1006</v>
      </c>
      <c r="AO66" s="30" t="n">
        <v>60.54</v>
      </c>
      <c r="AP66" s="30" t="s">
        <v>1005</v>
      </c>
      <c r="AQ66" s="30" t="n">
        <v>23.32</v>
      </c>
      <c r="AR66" s="30" t="s">
        <v>1005</v>
      </c>
      <c r="AS66" s="30" t="n">
        <v>48.96</v>
      </c>
      <c r="AT66" s="30" t="s">
        <v>1005</v>
      </c>
      <c r="AU66" s="30" t="n">
        <v>388.88</v>
      </c>
      <c r="AV66" s="30" t="n">
        <v>0.33495</v>
      </c>
      <c r="AW66" s="30" t="s">
        <v>1016</v>
      </c>
      <c r="AX66" s="30" t="s">
        <v>1008</v>
      </c>
      <c r="AY66" s="30" t="n">
        <v>1</v>
      </c>
      <c r="AZ66" s="30"/>
    </row>
    <row collapsed="false" customFormat="true" customHeight="true" hidden="false" ht="33" outlineLevel="0" r="67" s="73">
      <c r="A67" s="30" t="n">
        <v>62</v>
      </c>
      <c r="B67" s="30" t="s">
        <v>149</v>
      </c>
      <c r="C67" s="30" t="s">
        <v>1009</v>
      </c>
      <c r="D67" s="30" t="s">
        <v>999</v>
      </c>
      <c r="E67" s="30" t="s">
        <v>1010</v>
      </c>
      <c r="F67" s="30" t="s">
        <v>1011</v>
      </c>
      <c r="G67" s="30" t="s">
        <v>1002</v>
      </c>
      <c r="H67" s="30" t="s">
        <v>1003</v>
      </c>
      <c r="I67" s="30" t="n">
        <v>0</v>
      </c>
      <c r="J67" s="30"/>
      <c r="K67" s="30" t="n">
        <v>57</v>
      </c>
      <c r="L67" s="30"/>
      <c r="M67" s="30" t="s">
        <v>1012</v>
      </c>
      <c r="N67" s="30" t="s">
        <v>54</v>
      </c>
      <c r="O67" s="30"/>
      <c r="P67" s="30"/>
      <c r="Q67" s="30"/>
      <c r="R67" s="30"/>
      <c r="S67" s="30"/>
      <c r="T67" s="30"/>
      <c r="U67" s="30" t="n">
        <v>265.66</v>
      </c>
      <c r="V67" s="30" t="n">
        <v>265.66</v>
      </c>
      <c r="W67" s="30" t="n">
        <v>39</v>
      </c>
      <c r="X67" s="30" t="s">
        <v>1006</v>
      </c>
      <c r="Y67" s="30" t="n">
        <v>38.81</v>
      </c>
      <c r="Z67" s="30" t="s">
        <v>1006</v>
      </c>
      <c r="AA67" s="30" t="n">
        <v>38.81</v>
      </c>
      <c r="AB67" s="30" t="s">
        <v>1006</v>
      </c>
      <c r="AC67" s="30" t="n">
        <v>38.81</v>
      </c>
      <c r="AD67" s="30" t="s">
        <v>1006</v>
      </c>
      <c r="AE67" s="30" t="n">
        <v>11.26</v>
      </c>
      <c r="AF67" s="30" t="s">
        <v>1006</v>
      </c>
      <c r="AG67" s="30" t="n">
        <v>0</v>
      </c>
      <c r="AH67" s="30" t="s">
        <v>1006</v>
      </c>
      <c r="AI67" s="30" t="n">
        <v>0</v>
      </c>
      <c r="AJ67" s="30" t="s">
        <v>1006</v>
      </c>
      <c r="AK67" s="30" t="n">
        <v>0</v>
      </c>
      <c r="AL67" s="30" t="s">
        <v>1006</v>
      </c>
      <c r="AM67" s="30" t="n">
        <v>0</v>
      </c>
      <c r="AN67" s="30" t="s">
        <v>1006</v>
      </c>
      <c r="AO67" s="30" t="n">
        <v>36.06</v>
      </c>
      <c r="AP67" s="30" t="s">
        <v>1006</v>
      </c>
      <c r="AQ67" s="30" t="n">
        <v>36.06</v>
      </c>
      <c r="AR67" s="30" t="s">
        <v>1006</v>
      </c>
      <c r="AS67" s="30" t="n">
        <v>36.06</v>
      </c>
      <c r="AT67" s="30" t="s">
        <v>1006</v>
      </c>
      <c r="AU67" s="30" t="n">
        <v>274.87</v>
      </c>
      <c r="AV67" s="30" t="n">
        <v>0.153535</v>
      </c>
      <c r="AW67" s="30" t="s">
        <v>1013</v>
      </c>
      <c r="AX67" s="30" t="s">
        <v>1008</v>
      </c>
      <c r="AY67" s="30" t="n">
        <v>1</v>
      </c>
      <c r="AZ67" s="30"/>
    </row>
    <row collapsed="false" customFormat="true" customHeight="true" hidden="false" ht="33" outlineLevel="0" r="68" s="73">
      <c r="A68" s="30" t="n">
        <v>63</v>
      </c>
      <c r="B68" s="30" t="s">
        <v>150</v>
      </c>
      <c r="C68" s="30" t="s">
        <v>1009</v>
      </c>
      <c r="D68" s="30" t="s">
        <v>999</v>
      </c>
      <c r="E68" s="30" t="s">
        <v>1010</v>
      </c>
      <c r="F68" s="30" t="s">
        <v>1011</v>
      </c>
      <c r="G68" s="30" t="s">
        <v>1002</v>
      </c>
      <c r="H68" s="30" t="s">
        <v>1003</v>
      </c>
      <c r="I68" s="30" t="n">
        <v>1</v>
      </c>
      <c r="J68" s="30"/>
      <c r="K68" s="30" t="n">
        <v>57</v>
      </c>
      <c r="L68" s="30"/>
      <c r="M68" s="30" t="s">
        <v>1012</v>
      </c>
      <c r="N68" s="30" t="s">
        <v>54</v>
      </c>
      <c r="O68" s="30"/>
      <c r="P68" s="30"/>
      <c r="Q68" s="30"/>
      <c r="R68" s="30"/>
      <c r="S68" s="30"/>
      <c r="T68" s="30"/>
      <c r="U68" s="30" t="n">
        <v>500.17</v>
      </c>
      <c r="V68" s="30" t="n">
        <v>500.17</v>
      </c>
      <c r="W68" s="30" t="n">
        <v>72.54</v>
      </c>
      <c r="X68" s="30" t="s">
        <v>1006</v>
      </c>
      <c r="Y68" s="30" t="n">
        <v>72.54</v>
      </c>
      <c r="Z68" s="30" t="s">
        <v>1006</v>
      </c>
      <c r="AA68" s="30" t="n">
        <v>72.54</v>
      </c>
      <c r="AB68" s="30" t="s">
        <v>1006</v>
      </c>
      <c r="AC68" s="30" t="n">
        <v>72.54</v>
      </c>
      <c r="AD68" s="30" t="s">
        <v>1006</v>
      </c>
      <c r="AE68" s="30" t="n">
        <v>21.06</v>
      </c>
      <c r="AF68" s="30" t="s">
        <v>1006</v>
      </c>
      <c r="AG68" s="30" t="n">
        <v>0</v>
      </c>
      <c r="AH68" s="30" t="s">
        <v>1006</v>
      </c>
      <c r="AI68" s="30" t="n">
        <v>0</v>
      </c>
      <c r="AJ68" s="30" t="s">
        <v>1006</v>
      </c>
      <c r="AK68" s="30" t="n">
        <v>0</v>
      </c>
      <c r="AL68" s="30" t="s">
        <v>1006</v>
      </c>
      <c r="AM68" s="30" t="n">
        <v>0</v>
      </c>
      <c r="AN68" s="30" t="s">
        <v>1006</v>
      </c>
      <c r="AO68" s="30" t="n">
        <v>69.8</v>
      </c>
      <c r="AP68" s="30" t="s">
        <v>1006</v>
      </c>
      <c r="AQ68" s="30" t="n">
        <v>69.8</v>
      </c>
      <c r="AR68" s="30" t="s">
        <v>1006</v>
      </c>
      <c r="AS68" s="30" t="n">
        <v>56.89</v>
      </c>
      <c r="AT68" s="30" t="s">
        <v>1005</v>
      </c>
      <c r="AU68" s="30" t="n">
        <v>507.71</v>
      </c>
      <c r="AV68" s="30" t="n">
        <v>0.291</v>
      </c>
      <c r="AW68" s="30" t="s">
        <v>1013</v>
      </c>
      <c r="AX68" s="30" t="s">
        <v>1008</v>
      </c>
      <c r="AY68" s="30" t="n">
        <v>1</v>
      </c>
      <c r="AZ68" s="30"/>
    </row>
    <row collapsed="false" customFormat="true" customHeight="true" hidden="false" ht="33" outlineLevel="0" r="69" s="73">
      <c r="A69" s="30" t="n">
        <v>64</v>
      </c>
      <c r="B69" s="30" t="s">
        <v>152</v>
      </c>
      <c r="C69" s="30" t="s">
        <v>1009</v>
      </c>
      <c r="D69" s="30" t="s">
        <v>999</v>
      </c>
      <c r="E69" s="30" t="s">
        <v>1010</v>
      </c>
      <c r="F69" s="30" t="s">
        <v>1011</v>
      </c>
      <c r="G69" s="30" t="s">
        <v>1002</v>
      </c>
      <c r="H69" s="30" t="s">
        <v>1003</v>
      </c>
      <c r="I69" s="30" t="n">
        <v>1</v>
      </c>
      <c r="J69" s="30"/>
      <c r="K69" s="30" t="n">
        <v>89</v>
      </c>
      <c r="L69" s="30"/>
      <c r="M69" s="30" t="s">
        <v>1015</v>
      </c>
      <c r="N69" s="30" t="s">
        <v>53</v>
      </c>
      <c r="O69" s="30"/>
      <c r="P69" s="30"/>
      <c r="Q69" s="30"/>
      <c r="R69" s="30"/>
      <c r="S69" s="30"/>
      <c r="T69" s="30"/>
      <c r="U69" s="30" t="n">
        <v>1026.61</v>
      </c>
      <c r="V69" s="30" t="n">
        <v>1026.61</v>
      </c>
      <c r="W69" s="30" t="n">
        <v>116.94</v>
      </c>
      <c r="X69" s="30" t="s">
        <v>1006</v>
      </c>
      <c r="Y69" s="30" t="n">
        <v>93.05</v>
      </c>
      <c r="Z69" s="30" t="s">
        <v>1006</v>
      </c>
      <c r="AA69" s="30" t="n">
        <v>94.51</v>
      </c>
      <c r="AB69" s="30" t="s">
        <v>1006</v>
      </c>
      <c r="AC69" s="30" t="n">
        <v>92.35</v>
      </c>
      <c r="AD69" s="30" t="s">
        <v>1006</v>
      </c>
      <c r="AE69" s="30" t="n">
        <v>44.1</v>
      </c>
      <c r="AF69" s="30" t="s">
        <v>1006</v>
      </c>
      <c r="AG69" s="30" t="n">
        <v>22.07</v>
      </c>
      <c r="AH69" s="30" t="s">
        <v>1006</v>
      </c>
      <c r="AI69" s="30" t="n">
        <v>9.35</v>
      </c>
      <c r="AJ69" s="30" t="s">
        <v>1006</v>
      </c>
      <c r="AK69" s="30" t="n">
        <v>14.75</v>
      </c>
      <c r="AL69" s="30" t="s">
        <v>1006</v>
      </c>
      <c r="AM69" s="30" t="n">
        <v>27.4</v>
      </c>
      <c r="AN69" s="30" t="s">
        <v>1006</v>
      </c>
      <c r="AO69" s="30" t="n">
        <v>86.62</v>
      </c>
      <c r="AP69" s="30" t="s">
        <v>1006</v>
      </c>
      <c r="AQ69" s="30" t="n">
        <v>57.42</v>
      </c>
      <c r="AR69" s="30" t="s">
        <v>1005</v>
      </c>
      <c r="AS69" s="30" t="n">
        <v>140.39</v>
      </c>
      <c r="AT69" s="30" t="s">
        <v>1005</v>
      </c>
      <c r="AU69" s="30" t="n">
        <v>798.95</v>
      </c>
      <c r="AV69" s="30" t="n">
        <v>0.425</v>
      </c>
      <c r="AW69" s="30" t="s">
        <v>1016</v>
      </c>
      <c r="AX69" s="30" t="s">
        <v>1008</v>
      </c>
      <c r="AY69" s="30" t="n">
        <v>1</v>
      </c>
      <c r="AZ69" s="30"/>
    </row>
    <row collapsed="false" customFormat="true" customHeight="true" hidden="false" ht="33" outlineLevel="0" r="70" s="73">
      <c r="A70" s="30" t="n">
        <v>65</v>
      </c>
      <c r="B70" s="30" t="s">
        <v>153</v>
      </c>
      <c r="C70" s="30" t="s">
        <v>1009</v>
      </c>
      <c r="D70" s="30" t="s">
        <v>999</v>
      </c>
      <c r="E70" s="30" t="s">
        <v>1010</v>
      </c>
      <c r="F70" s="30" t="s">
        <v>1011</v>
      </c>
      <c r="G70" s="30" t="s">
        <v>1002</v>
      </c>
      <c r="H70" s="30" t="s">
        <v>1003</v>
      </c>
      <c r="I70" s="30" t="n">
        <v>0</v>
      </c>
      <c r="J70" s="30"/>
      <c r="K70" s="30" t="n">
        <v>89</v>
      </c>
      <c r="L70" s="30"/>
      <c r="M70" s="30" t="s">
        <v>1015</v>
      </c>
      <c r="N70" s="30" t="s">
        <v>53</v>
      </c>
      <c r="O70" s="30"/>
      <c r="P70" s="30"/>
      <c r="Q70" s="30"/>
      <c r="R70" s="30"/>
      <c r="S70" s="30"/>
      <c r="T70" s="30"/>
      <c r="U70" s="30" t="n">
        <v>1011.68</v>
      </c>
      <c r="V70" s="30" t="n">
        <v>1011.68</v>
      </c>
      <c r="W70" s="30" t="n">
        <v>115.42</v>
      </c>
      <c r="X70" s="30" t="s">
        <v>1006</v>
      </c>
      <c r="Y70" s="30" t="n">
        <v>97.73</v>
      </c>
      <c r="Z70" s="30" t="s">
        <v>1006</v>
      </c>
      <c r="AA70" s="30" t="n">
        <v>98.19</v>
      </c>
      <c r="AB70" s="30" t="s">
        <v>1006</v>
      </c>
      <c r="AC70" s="30" t="n">
        <v>98.1</v>
      </c>
      <c r="AD70" s="30" t="s">
        <v>1006</v>
      </c>
      <c r="AE70" s="30" t="n">
        <v>45.54</v>
      </c>
      <c r="AF70" s="30" t="s">
        <v>1006</v>
      </c>
      <c r="AG70" s="30" t="n">
        <v>19.34</v>
      </c>
      <c r="AH70" s="30" t="s">
        <v>1006</v>
      </c>
      <c r="AI70" s="30" t="n">
        <v>14.37</v>
      </c>
      <c r="AJ70" s="30" t="s">
        <v>1006</v>
      </c>
      <c r="AK70" s="30" t="n">
        <v>12.82</v>
      </c>
      <c r="AL70" s="30" t="s">
        <v>1006</v>
      </c>
      <c r="AM70" s="30" t="n">
        <v>24.99</v>
      </c>
      <c r="AN70" s="30" t="s">
        <v>1006</v>
      </c>
      <c r="AO70" s="30" t="n">
        <v>84.02</v>
      </c>
      <c r="AP70" s="30" t="s">
        <v>1006</v>
      </c>
      <c r="AQ70" s="30" t="n">
        <v>57.42</v>
      </c>
      <c r="AR70" s="30" t="s">
        <v>1005</v>
      </c>
      <c r="AS70" s="30" t="n">
        <v>140.39</v>
      </c>
      <c r="AT70" s="30" t="s">
        <v>1005</v>
      </c>
      <c r="AU70" s="30" t="n">
        <v>808.33</v>
      </c>
      <c r="AV70" s="30" t="n">
        <v>0.425</v>
      </c>
      <c r="AW70" s="30" t="s">
        <v>1016</v>
      </c>
      <c r="AX70" s="30" t="s">
        <v>1008</v>
      </c>
      <c r="AY70" s="30" t="n">
        <v>0</v>
      </c>
      <c r="AZ70" s="30"/>
    </row>
    <row collapsed="false" customFormat="true" customHeight="true" hidden="false" ht="33" outlineLevel="0" r="71" s="73">
      <c r="A71" s="30" t="n">
        <v>66</v>
      </c>
      <c r="B71" s="30" t="s">
        <v>154</v>
      </c>
      <c r="C71" s="30" t="s">
        <v>1009</v>
      </c>
      <c r="D71" s="30" t="s">
        <v>999</v>
      </c>
      <c r="E71" s="30" t="s">
        <v>1010</v>
      </c>
      <c r="F71" s="30" t="s">
        <v>1011</v>
      </c>
      <c r="G71" s="30" t="s">
        <v>1002</v>
      </c>
      <c r="H71" s="30" t="s">
        <v>1003</v>
      </c>
      <c r="I71" s="30" t="n">
        <v>0</v>
      </c>
      <c r="J71" s="30"/>
      <c r="K71" s="30" t="n">
        <v>89</v>
      </c>
      <c r="L71" s="30"/>
      <c r="M71" s="30" t="s">
        <v>1015</v>
      </c>
      <c r="N71" s="30" t="s">
        <v>53</v>
      </c>
      <c r="O71" s="30"/>
      <c r="P71" s="30"/>
      <c r="Q71" s="30"/>
      <c r="R71" s="30"/>
      <c r="S71" s="30"/>
      <c r="T71" s="30"/>
      <c r="U71" s="30" t="n">
        <v>1011.68</v>
      </c>
      <c r="V71" s="30" t="n">
        <v>1011.68</v>
      </c>
      <c r="W71" s="30" t="n">
        <v>114.1</v>
      </c>
      <c r="X71" s="30" t="s">
        <v>1006</v>
      </c>
      <c r="Y71" s="30" t="n">
        <v>102.63</v>
      </c>
      <c r="Z71" s="30" t="s">
        <v>1006</v>
      </c>
      <c r="AA71" s="30" t="n">
        <v>103.81</v>
      </c>
      <c r="AB71" s="30" t="s">
        <v>1006</v>
      </c>
      <c r="AC71" s="30" t="n">
        <v>103.43</v>
      </c>
      <c r="AD71" s="30" t="s">
        <v>1006</v>
      </c>
      <c r="AE71" s="30" t="n">
        <v>49.75</v>
      </c>
      <c r="AF71" s="30" t="s">
        <v>1006</v>
      </c>
      <c r="AG71" s="30" t="n">
        <v>22.3</v>
      </c>
      <c r="AH71" s="30" t="s">
        <v>1006</v>
      </c>
      <c r="AI71" s="30" t="n">
        <v>10.36</v>
      </c>
      <c r="AJ71" s="30" t="s">
        <v>1006</v>
      </c>
      <c r="AK71" s="30" t="n">
        <v>15.87</v>
      </c>
      <c r="AL71" s="30" t="s">
        <v>1006</v>
      </c>
      <c r="AM71" s="30" t="n">
        <v>27.04</v>
      </c>
      <c r="AN71" s="30" t="s">
        <v>1006</v>
      </c>
      <c r="AO71" s="30" t="n">
        <v>85.72</v>
      </c>
      <c r="AP71" s="30" t="s">
        <v>1006</v>
      </c>
      <c r="AQ71" s="30" t="n">
        <v>57.46</v>
      </c>
      <c r="AR71" s="30" t="s">
        <v>1005</v>
      </c>
      <c r="AS71" s="30" t="n">
        <v>140.39</v>
      </c>
      <c r="AT71" s="30" t="s">
        <v>1005</v>
      </c>
      <c r="AU71" s="30" t="n">
        <v>832.86</v>
      </c>
      <c r="AV71" s="30" t="n">
        <v>0.425</v>
      </c>
      <c r="AW71" s="30" t="s">
        <v>1016</v>
      </c>
      <c r="AX71" s="30" t="s">
        <v>1008</v>
      </c>
      <c r="AY71" s="30" t="n">
        <v>0</v>
      </c>
      <c r="AZ71" s="30"/>
    </row>
    <row collapsed="false" customFormat="true" customHeight="true" hidden="false" ht="33" outlineLevel="0" r="72" s="73">
      <c r="A72" s="30" t="n">
        <v>67</v>
      </c>
      <c r="B72" s="30" t="s">
        <v>155</v>
      </c>
      <c r="C72" s="30" t="s">
        <v>1009</v>
      </c>
      <c r="D72" s="30" t="s">
        <v>999</v>
      </c>
      <c r="E72" s="30" t="s">
        <v>1010</v>
      </c>
      <c r="F72" s="30" t="s">
        <v>1011</v>
      </c>
      <c r="G72" s="30" t="s">
        <v>1002</v>
      </c>
      <c r="H72" s="30" t="s">
        <v>1003</v>
      </c>
      <c r="I72" s="30" t="n">
        <v>0</v>
      </c>
      <c r="J72" s="30"/>
      <c r="K72" s="30" t="n">
        <v>89</v>
      </c>
      <c r="L72" s="30"/>
      <c r="M72" s="30" t="s">
        <v>1015</v>
      </c>
      <c r="N72" s="30" t="s">
        <v>53</v>
      </c>
      <c r="O72" s="30"/>
      <c r="P72" s="30"/>
      <c r="Q72" s="30"/>
      <c r="R72" s="30"/>
      <c r="S72" s="30"/>
      <c r="T72" s="30"/>
      <c r="U72" s="30" t="n">
        <v>1012.02</v>
      </c>
      <c r="V72" s="30" t="n">
        <v>1012.02</v>
      </c>
      <c r="W72" s="30" t="n">
        <v>120.31</v>
      </c>
      <c r="X72" s="30" t="s">
        <v>1006</v>
      </c>
      <c r="Y72" s="30" t="n">
        <v>110.96</v>
      </c>
      <c r="Z72" s="30" t="s">
        <v>1006</v>
      </c>
      <c r="AA72" s="30" t="n">
        <v>105.48</v>
      </c>
      <c r="AB72" s="30" t="s">
        <v>1006</v>
      </c>
      <c r="AC72" s="30" t="n">
        <v>106.33</v>
      </c>
      <c r="AD72" s="30" t="s">
        <v>1006</v>
      </c>
      <c r="AE72" s="30" t="n">
        <v>56.26</v>
      </c>
      <c r="AF72" s="30" t="s">
        <v>1006</v>
      </c>
      <c r="AG72" s="30" t="n">
        <v>30.3</v>
      </c>
      <c r="AH72" s="30" t="s">
        <v>1006</v>
      </c>
      <c r="AI72" s="30" t="n">
        <v>11.86</v>
      </c>
      <c r="AJ72" s="30" t="s">
        <v>1006</v>
      </c>
      <c r="AK72" s="30" t="n">
        <v>21.42</v>
      </c>
      <c r="AL72" s="30" t="s">
        <v>1006</v>
      </c>
      <c r="AM72" s="30" t="n">
        <v>33.76</v>
      </c>
      <c r="AN72" s="30" t="s">
        <v>1006</v>
      </c>
      <c r="AO72" s="30" t="n">
        <v>92.78</v>
      </c>
      <c r="AP72" s="30" t="s">
        <v>1006</v>
      </c>
      <c r="AQ72" s="30" t="n">
        <v>57.42</v>
      </c>
      <c r="AR72" s="30" t="s">
        <v>1005</v>
      </c>
      <c r="AS72" s="30" t="n">
        <v>140.39</v>
      </c>
      <c r="AT72" s="30" t="s">
        <v>1005</v>
      </c>
      <c r="AU72" s="30" t="n">
        <v>887.27</v>
      </c>
      <c r="AV72" s="30" t="n">
        <v>0.425</v>
      </c>
      <c r="AW72" s="30" t="s">
        <v>1016</v>
      </c>
      <c r="AX72" s="30" t="s">
        <v>1008</v>
      </c>
      <c r="AY72" s="30" t="n">
        <v>0</v>
      </c>
      <c r="AZ72" s="30"/>
    </row>
    <row collapsed="false" customFormat="true" customHeight="true" hidden="false" ht="33" outlineLevel="0" r="73" s="73">
      <c r="A73" s="30" t="n">
        <v>68</v>
      </c>
      <c r="B73" s="30" t="s">
        <v>156</v>
      </c>
      <c r="C73" s="30" t="s">
        <v>1009</v>
      </c>
      <c r="D73" s="30" t="s">
        <v>999</v>
      </c>
      <c r="E73" s="30" t="s">
        <v>1010</v>
      </c>
      <c r="F73" s="30" t="s">
        <v>1011</v>
      </c>
      <c r="G73" s="30" t="s">
        <v>1002</v>
      </c>
      <c r="H73" s="30" t="s">
        <v>1003</v>
      </c>
      <c r="I73" s="30" t="n">
        <v>1</v>
      </c>
      <c r="J73" s="30"/>
      <c r="K73" s="30" t="n">
        <v>76</v>
      </c>
      <c r="L73" s="30"/>
      <c r="M73" s="30" t="s">
        <v>1015</v>
      </c>
      <c r="N73" s="30" t="s">
        <v>53</v>
      </c>
      <c r="O73" s="30"/>
      <c r="P73" s="30"/>
      <c r="Q73" s="30"/>
      <c r="R73" s="30"/>
      <c r="S73" s="30"/>
      <c r="T73" s="30"/>
      <c r="U73" s="30" t="n">
        <v>856.97</v>
      </c>
      <c r="V73" s="30" t="n">
        <v>856.97</v>
      </c>
      <c r="W73" s="30" t="n">
        <v>107.85</v>
      </c>
      <c r="X73" s="30" t="s">
        <v>1006</v>
      </c>
      <c r="Y73" s="30" t="n">
        <v>93.04</v>
      </c>
      <c r="Z73" s="30" t="s">
        <v>1006</v>
      </c>
      <c r="AA73" s="30" t="n">
        <v>94.78</v>
      </c>
      <c r="AB73" s="30" t="s">
        <v>1006</v>
      </c>
      <c r="AC73" s="30" t="n">
        <v>93.33</v>
      </c>
      <c r="AD73" s="30" t="s">
        <v>1006</v>
      </c>
      <c r="AE73" s="30" t="n">
        <v>41.38</v>
      </c>
      <c r="AF73" s="30" t="s">
        <v>1006</v>
      </c>
      <c r="AG73" s="30" t="n">
        <v>19.46</v>
      </c>
      <c r="AH73" s="30" t="s">
        <v>1006</v>
      </c>
      <c r="AI73" s="30" t="n">
        <v>10.4</v>
      </c>
      <c r="AJ73" s="30" t="s">
        <v>1006</v>
      </c>
      <c r="AK73" s="30" t="n">
        <v>15.26</v>
      </c>
      <c r="AL73" s="30" t="s">
        <v>1006</v>
      </c>
      <c r="AM73" s="30" t="n">
        <v>34.48</v>
      </c>
      <c r="AN73" s="30" t="s">
        <v>1006</v>
      </c>
      <c r="AO73" s="30" t="n">
        <v>85.15</v>
      </c>
      <c r="AP73" s="30" t="s">
        <v>1006</v>
      </c>
      <c r="AQ73" s="30" t="n">
        <v>83.14</v>
      </c>
      <c r="AR73" s="30" t="s">
        <v>1006</v>
      </c>
      <c r="AS73" s="30" t="n">
        <v>64.52</v>
      </c>
      <c r="AT73" s="30" t="s">
        <v>1005</v>
      </c>
      <c r="AU73" s="30" t="n">
        <v>742.79</v>
      </c>
      <c r="AV73" s="30" t="n">
        <v>0.307</v>
      </c>
      <c r="AW73" s="30" t="s">
        <v>1016</v>
      </c>
      <c r="AX73" s="30" t="s">
        <v>1008</v>
      </c>
      <c r="AY73" s="30" t="n">
        <v>1</v>
      </c>
      <c r="AZ73" s="30"/>
    </row>
    <row collapsed="false" customFormat="true" customHeight="true" hidden="false" ht="33" outlineLevel="0" r="74" s="73">
      <c r="A74" s="30" t="n">
        <v>69</v>
      </c>
      <c r="B74" s="30" t="s">
        <v>157</v>
      </c>
      <c r="C74" s="30" t="s">
        <v>1009</v>
      </c>
      <c r="D74" s="30" t="s">
        <v>999</v>
      </c>
      <c r="E74" s="30" t="s">
        <v>1010</v>
      </c>
      <c r="F74" s="30" t="s">
        <v>1011</v>
      </c>
      <c r="G74" s="30" t="s">
        <v>1002</v>
      </c>
      <c r="H74" s="30" t="s">
        <v>1003</v>
      </c>
      <c r="I74" s="30" t="n">
        <v>1</v>
      </c>
      <c r="J74" s="30"/>
      <c r="K74" s="30" t="n">
        <v>76</v>
      </c>
      <c r="L74" s="30"/>
      <c r="M74" s="30" t="s">
        <v>1015</v>
      </c>
      <c r="N74" s="30" t="s">
        <v>53</v>
      </c>
      <c r="O74" s="30"/>
      <c r="P74" s="30"/>
      <c r="Q74" s="30"/>
      <c r="R74" s="30"/>
      <c r="S74" s="30"/>
      <c r="T74" s="30"/>
      <c r="U74" s="30" t="n">
        <v>582.81</v>
      </c>
      <c r="V74" s="30" t="n">
        <v>582.81</v>
      </c>
      <c r="W74" s="30" t="n">
        <v>71.34</v>
      </c>
      <c r="X74" s="30" t="s">
        <v>1006</v>
      </c>
      <c r="Y74" s="30" t="n">
        <v>59.39</v>
      </c>
      <c r="Z74" s="30" t="s">
        <v>1006</v>
      </c>
      <c r="AA74" s="30" t="n">
        <v>59.58</v>
      </c>
      <c r="AB74" s="30" t="s">
        <v>1006</v>
      </c>
      <c r="AC74" s="30" t="n">
        <v>60.05</v>
      </c>
      <c r="AD74" s="30" t="s">
        <v>1006</v>
      </c>
      <c r="AE74" s="30" t="n">
        <v>45.29</v>
      </c>
      <c r="AF74" s="30" t="s">
        <v>1006</v>
      </c>
      <c r="AG74" s="30" t="n">
        <v>33.43</v>
      </c>
      <c r="AH74" s="30" t="s">
        <v>1006</v>
      </c>
      <c r="AI74" s="30" t="n">
        <v>3.49</v>
      </c>
      <c r="AJ74" s="30" t="s">
        <v>1006</v>
      </c>
      <c r="AK74" s="30" t="n">
        <v>24.12</v>
      </c>
      <c r="AL74" s="30" t="s">
        <v>1006</v>
      </c>
      <c r="AM74" s="30" t="n">
        <v>21.91</v>
      </c>
      <c r="AN74" s="30" t="s">
        <v>1006</v>
      </c>
      <c r="AO74" s="30" t="n">
        <v>55.45</v>
      </c>
      <c r="AP74" s="30" t="s">
        <v>1006</v>
      </c>
      <c r="AQ74" s="30" t="n">
        <v>56.56</v>
      </c>
      <c r="AR74" s="30" t="s">
        <v>1006</v>
      </c>
      <c r="AS74" s="30" t="n">
        <v>48.77</v>
      </c>
      <c r="AT74" s="30" t="s">
        <v>1005</v>
      </c>
      <c r="AU74" s="30" t="n">
        <v>539.38</v>
      </c>
      <c r="AV74" s="30" t="n">
        <v>0.22</v>
      </c>
      <c r="AW74" s="30" t="s">
        <v>1016</v>
      </c>
      <c r="AX74" s="30" t="s">
        <v>1008</v>
      </c>
      <c r="AY74" s="30" t="n">
        <v>1</v>
      </c>
      <c r="AZ74" s="30"/>
    </row>
    <row collapsed="false" customFormat="true" customHeight="true" hidden="false" ht="33" outlineLevel="0" r="75" s="73">
      <c r="A75" s="30" t="n">
        <v>70</v>
      </c>
      <c r="B75" s="30" t="s">
        <v>158</v>
      </c>
      <c r="C75" s="30" t="s">
        <v>1009</v>
      </c>
      <c r="D75" s="30" t="s">
        <v>999</v>
      </c>
      <c r="E75" s="30" t="s">
        <v>1010</v>
      </c>
      <c r="F75" s="30" t="s">
        <v>1011</v>
      </c>
      <c r="G75" s="30" t="s">
        <v>1002</v>
      </c>
      <c r="H75" s="30" t="s">
        <v>1003</v>
      </c>
      <c r="I75" s="30" t="n">
        <v>1</v>
      </c>
      <c r="J75" s="30"/>
      <c r="K75" s="30" t="n">
        <v>76</v>
      </c>
      <c r="L75" s="30"/>
      <c r="M75" s="30" t="s">
        <v>1015</v>
      </c>
      <c r="N75" s="30" t="s">
        <v>53</v>
      </c>
      <c r="O75" s="30"/>
      <c r="P75" s="30"/>
      <c r="Q75" s="30"/>
      <c r="R75" s="30"/>
      <c r="S75" s="30"/>
      <c r="T75" s="30"/>
      <c r="U75" s="30" t="n">
        <v>805.62</v>
      </c>
      <c r="V75" s="30" t="n">
        <v>805.62</v>
      </c>
      <c r="W75" s="30" t="n">
        <v>132.89</v>
      </c>
      <c r="X75" s="30" t="s">
        <v>1006</v>
      </c>
      <c r="Y75" s="30" t="n">
        <v>117.03</v>
      </c>
      <c r="Z75" s="30" t="s">
        <v>1006</v>
      </c>
      <c r="AA75" s="30" t="n">
        <v>115.68</v>
      </c>
      <c r="AB75" s="30" t="s">
        <v>1006</v>
      </c>
      <c r="AC75" s="30" t="n">
        <v>116.43</v>
      </c>
      <c r="AD75" s="30" t="s">
        <v>1006</v>
      </c>
      <c r="AE75" s="30" t="n">
        <v>59.51</v>
      </c>
      <c r="AF75" s="30" t="s">
        <v>1006</v>
      </c>
      <c r="AG75" s="30" t="n">
        <v>30.41</v>
      </c>
      <c r="AH75" s="30" t="s">
        <v>1006</v>
      </c>
      <c r="AI75" s="30" t="n">
        <v>13.91</v>
      </c>
      <c r="AJ75" s="30" t="s">
        <v>1006</v>
      </c>
      <c r="AK75" s="30" t="n">
        <v>22.9</v>
      </c>
      <c r="AL75" s="30" t="s">
        <v>1006</v>
      </c>
      <c r="AM75" s="30" t="n">
        <v>45.63</v>
      </c>
      <c r="AN75" s="30" t="s">
        <v>1006</v>
      </c>
      <c r="AO75" s="30" t="n">
        <v>110.66</v>
      </c>
      <c r="AP75" s="30" t="s">
        <v>1006</v>
      </c>
      <c r="AQ75" s="30" t="n">
        <v>110.67</v>
      </c>
      <c r="AR75" s="30" t="s">
        <v>1006</v>
      </c>
      <c r="AS75" s="30" t="n">
        <v>73.97</v>
      </c>
      <c r="AT75" s="30" t="s">
        <v>1005</v>
      </c>
      <c r="AU75" s="30" t="n">
        <v>949.69</v>
      </c>
      <c r="AV75" s="30" t="n">
        <v>0.365</v>
      </c>
      <c r="AW75" s="30" t="s">
        <v>1016</v>
      </c>
      <c r="AX75" s="30" t="s">
        <v>1008</v>
      </c>
      <c r="AY75" s="30" t="n">
        <v>1</v>
      </c>
      <c r="AZ75" s="30"/>
    </row>
    <row collapsed="false" customFormat="true" customHeight="true" hidden="false" ht="33" outlineLevel="0" r="76" s="73">
      <c r="A76" s="30" t="n">
        <v>71</v>
      </c>
      <c r="B76" s="30" t="s">
        <v>159</v>
      </c>
      <c r="C76" s="30" t="s">
        <v>1009</v>
      </c>
      <c r="D76" s="30" t="s">
        <v>999</v>
      </c>
      <c r="E76" s="30" t="s">
        <v>1010</v>
      </c>
      <c r="F76" s="30" t="s">
        <v>1011</v>
      </c>
      <c r="G76" s="30" t="s">
        <v>1002</v>
      </c>
      <c r="H76" s="30" t="s">
        <v>1003</v>
      </c>
      <c r="I76" s="30" t="n">
        <v>1</v>
      </c>
      <c r="J76" s="30"/>
      <c r="K76" s="30" t="n">
        <v>89</v>
      </c>
      <c r="L76" s="30"/>
      <c r="M76" s="30" t="s">
        <v>1015</v>
      </c>
      <c r="N76" s="30" t="s">
        <v>53</v>
      </c>
      <c r="O76" s="30"/>
      <c r="P76" s="30"/>
      <c r="Q76" s="30"/>
      <c r="R76" s="30"/>
      <c r="S76" s="30"/>
      <c r="T76" s="30"/>
      <c r="U76" s="30" t="n">
        <v>919.13</v>
      </c>
      <c r="V76" s="30" t="n">
        <v>919.13</v>
      </c>
      <c r="W76" s="30" t="n">
        <v>112.27</v>
      </c>
      <c r="X76" s="30" t="s">
        <v>1006</v>
      </c>
      <c r="Y76" s="30" t="n">
        <v>103.24</v>
      </c>
      <c r="Z76" s="30" t="s">
        <v>1006</v>
      </c>
      <c r="AA76" s="30" t="n">
        <v>104.01</v>
      </c>
      <c r="AB76" s="30" t="s">
        <v>1006</v>
      </c>
      <c r="AC76" s="30" t="n">
        <v>104.61</v>
      </c>
      <c r="AD76" s="30" t="s">
        <v>1006</v>
      </c>
      <c r="AE76" s="30" t="n">
        <v>48.87</v>
      </c>
      <c r="AF76" s="30" t="s">
        <v>1006</v>
      </c>
      <c r="AG76" s="30" t="n">
        <v>22.12</v>
      </c>
      <c r="AH76" s="30" t="s">
        <v>1006</v>
      </c>
      <c r="AI76" s="30" t="n">
        <v>15.46</v>
      </c>
      <c r="AJ76" s="30" t="s">
        <v>1006</v>
      </c>
      <c r="AK76" s="30" t="n">
        <v>19.4</v>
      </c>
      <c r="AL76" s="30" t="s">
        <v>1006</v>
      </c>
      <c r="AM76" s="30" t="n">
        <v>39.05</v>
      </c>
      <c r="AN76" s="30" t="s">
        <v>1006</v>
      </c>
      <c r="AO76" s="30" t="n">
        <v>98.44</v>
      </c>
      <c r="AP76" s="30" t="s">
        <v>1006</v>
      </c>
      <c r="AQ76" s="30" t="n">
        <v>98.58</v>
      </c>
      <c r="AR76" s="30" t="s">
        <v>1006</v>
      </c>
      <c r="AS76" s="30" t="n">
        <v>73.03</v>
      </c>
      <c r="AT76" s="30" t="s">
        <v>1005</v>
      </c>
      <c r="AU76" s="30" t="n">
        <v>839.08</v>
      </c>
      <c r="AV76" s="30" t="n">
        <v>0.359</v>
      </c>
      <c r="AW76" s="30" t="s">
        <v>1016</v>
      </c>
      <c r="AX76" s="30" t="s">
        <v>1008</v>
      </c>
      <c r="AY76" s="30" t="n">
        <v>1</v>
      </c>
      <c r="AZ76" s="30"/>
    </row>
    <row collapsed="false" customFormat="true" customHeight="true" hidden="false" ht="33" outlineLevel="0" r="77" s="73">
      <c r="A77" s="30" t="n">
        <v>72</v>
      </c>
      <c r="B77" s="30" t="s">
        <v>160</v>
      </c>
      <c r="C77" s="30" t="s">
        <v>1009</v>
      </c>
      <c r="D77" s="30" t="s">
        <v>999</v>
      </c>
      <c r="E77" s="30" t="s">
        <v>1010</v>
      </c>
      <c r="F77" s="30" t="s">
        <v>1011</v>
      </c>
      <c r="G77" s="30" t="s">
        <v>1002</v>
      </c>
      <c r="H77" s="30" t="s">
        <v>1003</v>
      </c>
      <c r="I77" s="30" t="n">
        <v>1</v>
      </c>
      <c r="J77" s="30"/>
      <c r="K77" s="30" t="n">
        <v>65</v>
      </c>
      <c r="L77" s="30"/>
      <c r="M77" s="30" t="s">
        <v>1015</v>
      </c>
      <c r="N77" s="30" t="s">
        <v>53</v>
      </c>
      <c r="O77" s="30"/>
      <c r="P77" s="30"/>
      <c r="Q77" s="30"/>
      <c r="R77" s="30"/>
      <c r="S77" s="30"/>
      <c r="T77" s="30"/>
      <c r="U77" s="30" t="n">
        <v>837.9</v>
      </c>
      <c r="V77" s="30" t="n">
        <v>837.9</v>
      </c>
      <c r="W77" s="30" t="n">
        <v>111.31</v>
      </c>
      <c r="X77" s="30" t="s">
        <v>1006</v>
      </c>
      <c r="Y77" s="30" t="n">
        <v>93.4</v>
      </c>
      <c r="Z77" s="30" t="s">
        <v>1006</v>
      </c>
      <c r="AA77" s="30" t="n">
        <v>96.18</v>
      </c>
      <c r="AB77" s="30" t="s">
        <v>1006</v>
      </c>
      <c r="AC77" s="30" t="n">
        <v>95.14</v>
      </c>
      <c r="AD77" s="30" t="s">
        <v>1006</v>
      </c>
      <c r="AE77" s="30" t="n">
        <v>48.82</v>
      </c>
      <c r="AF77" s="30" t="s">
        <v>1006</v>
      </c>
      <c r="AG77" s="30" t="n">
        <v>25.44</v>
      </c>
      <c r="AH77" s="30" t="s">
        <v>1006</v>
      </c>
      <c r="AI77" s="30" t="n">
        <v>12.27</v>
      </c>
      <c r="AJ77" s="30" t="s">
        <v>1006</v>
      </c>
      <c r="AK77" s="30" t="n">
        <v>20.5</v>
      </c>
      <c r="AL77" s="30" t="s">
        <v>1006</v>
      </c>
      <c r="AM77" s="30" t="n">
        <v>38.13</v>
      </c>
      <c r="AN77" s="30" t="s">
        <v>1006</v>
      </c>
      <c r="AO77" s="30" t="n">
        <v>55.46</v>
      </c>
      <c r="AP77" s="30" t="s">
        <v>1005</v>
      </c>
      <c r="AQ77" s="30" t="n">
        <v>82.69</v>
      </c>
      <c r="AR77" s="30" t="s">
        <v>1005</v>
      </c>
      <c r="AS77" s="30" t="n">
        <v>95.05</v>
      </c>
      <c r="AT77" s="30" t="s">
        <v>1005</v>
      </c>
      <c r="AU77" s="30" t="n">
        <v>774.39</v>
      </c>
      <c r="AV77" s="30" t="n">
        <v>0.31</v>
      </c>
      <c r="AW77" s="30" t="s">
        <v>1016</v>
      </c>
      <c r="AX77" s="30" t="s">
        <v>1008</v>
      </c>
      <c r="AY77" s="30" t="n">
        <v>1</v>
      </c>
      <c r="AZ77" s="30"/>
    </row>
    <row collapsed="false" customFormat="true" customHeight="true" hidden="false" ht="33" outlineLevel="0" r="78" s="73">
      <c r="A78" s="30" t="n">
        <v>73</v>
      </c>
      <c r="B78" s="30" t="s">
        <v>161</v>
      </c>
      <c r="C78" s="30" t="s">
        <v>1009</v>
      </c>
      <c r="D78" s="30" t="s">
        <v>999</v>
      </c>
      <c r="E78" s="30" t="s">
        <v>1010</v>
      </c>
      <c r="F78" s="30" t="s">
        <v>1011</v>
      </c>
      <c r="G78" s="30" t="s">
        <v>1002</v>
      </c>
      <c r="H78" s="30" t="s">
        <v>1003</v>
      </c>
      <c r="I78" s="30" t="n">
        <v>1</v>
      </c>
      <c r="J78" s="30"/>
      <c r="K78" s="30" t="n">
        <v>76</v>
      </c>
      <c r="L78" s="30"/>
      <c r="M78" s="30" t="s">
        <v>1015</v>
      </c>
      <c r="N78" s="30" t="s">
        <v>53</v>
      </c>
      <c r="O78" s="30"/>
      <c r="P78" s="30"/>
      <c r="Q78" s="30"/>
      <c r="R78" s="30"/>
      <c r="S78" s="30"/>
      <c r="T78" s="30"/>
      <c r="U78" s="30" t="n">
        <v>1015.03</v>
      </c>
      <c r="V78" s="30" t="n">
        <v>1234.08</v>
      </c>
      <c r="W78" s="30" t="n">
        <v>118.72</v>
      </c>
      <c r="X78" s="30" t="s">
        <v>1006</v>
      </c>
      <c r="Y78" s="30" t="n">
        <v>136.52</v>
      </c>
      <c r="Z78" s="30" t="s">
        <v>1005</v>
      </c>
      <c r="AA78" s="30" t="n">
        <v>177.46</v>
      </c>
      <c r="AB78" s="30" t="s">
        <v>1005</v>
      </c>
      <c r="AC78" s="30" t="n">
        <v>89.66</v>
      </c>
      <c r="AD78" s="30" t="s">
        <v>1005</v>
      </c>
      <c r="AE78" s="30" t="n">
        <v>67.99</v>
      </c>
      <c r="AF78" s="30" t="s">
        <v>1005</v>
      </c>
      <c r="AG78" s="30" t="n">
        <v>39.44</v>
      </c>
      <c r="AH78" s="30" t="s">
        <v>1005</v>
      </c>
      <c r="AI78" s="30" t="n">
        <v>14.42</v>
      </c>
      <c r="AJ78" s="30" t="s">
        <v>1005</v>
      </c>
      <c r="AK78" s="30" t="n">
        <v>18.9</v>
      </c>
      <c r="AL78" s="30" t="s">
        <v>1005</v>
      </c>
      <c r="AM78" s="30" t="n">
        <v>27.61</v>
      </c>
      <c r="AN78" s="30" t="s">
        <v>1005</v>
      </c>
      <c r="AO78" s="30" t="n">
        <v>98.19</v>
      </c>
      <c r="AP78" s="30" t="s">
        <v>1005</v>
      </c>
      <c r="AQ78" s="30" t="n">
        <v>102.62</v>
      </c>
      <c r="AR78" s="30" t="s">
        <v>1005</v>
      </c>
      <c r="AS78" s="30" t="n">
        <v>116.4</v>
      </c>
      <c r="AT78" s="30" t="s">
        <v>1005</v>
      </c>
      <c r="AU78" s="30" t="n">
        <v>1007.93</v>
      </c>
      <c r="AV78" s="30" t="n">
        <v>0.253434</v>
      </c>
      <c r="AW78" s="30" t="s">
        <v>1016</v>
      </c>
      <c r="AX78" s="30" t="s">
        <v>1008</v>
      </c>
      <c r="AY78" s="30" t="n">
        <v>1</v>
      </c>
      <c r="AZ78" s="30"/>
    </row>
    <row collapsed="false" customFormat="true" customHeight="true" hidden="false" ht="33" outlineLevel="0" r="79" s="73">
      <c r="A79" s="30" t="n">
        <v>74</v>
      </c>
      <c r="B79" s="30" t="s">
        <v>162</v>
      </c>
      <c r="C79" s="30" t="s">
        <v>1009</v>
      </c>
      <c r="D79" s="30" t="s">
        <v>999</v>
      </c>
      <c r="E79" s="30" t="s">
        <v>1010</v>
      </c>
      <c r="F79" s="30" t="s">
        <v>1011</v>
      </c>
      <c r="G79" s="30" t="s">
        <v>1002</v>
      </c>
      <c r="H79" s="30" t="s">
        <v>1003</v>
      </c>
      <c r="I79" s="30" t="n">
        <v>1</v>
      </c>
      <c r="J79" s="30"/>
      <c r="K79" s="30" t="n">
        <v>57</v>
      </c>
      <c r="L79" s="30"/>
      <c r="M79" s="30" t="s">
        <v>1015</v>
      </c>
      <c r="N79" s="30" t="s">
        <v>53</v>
      </c>
      <c r="O79" s="30"/>
      <c r="P79" s="30"/>
      <c r="Q79" s="30"/>
      <c r="R79" s="30"/>
      <c r="S79" s="30"/>
      <c r="T79" s="30"/>
      <c r="U79" s="30" t="n">
        <v>623.21</v>
      </c>
      <c r="V79" s="30" t="n">
        <v>623.21</v>
      </c>
      <c r="W79" s="30" t="n">
        <v>82.41</v>
      </c>
      <c r="X79" s="30" t="s">
        <v>1006</v>
      </c>
      <c r="Y79" s="30" t="n">
        <v>69.24</v>
      </c>
      <c r="Z79" s="30" t="s">
        <v>1006</v>
      </c>
      <c r="AA79" s="30" t="n">
        <v>70.97</v>
      </c>
      <c r="AB79" s="30" t="s">
        <v>1006</v>
      </c>
      <c r="AC79" s="30" t="n">
        <v>69.62</v>
      </c>
      <c r="AD79" s="30" t="s">
        <v>1006</v>
      </c>
      <c r="AE79" s="30" t="n">
        <v>34.85</v>
      </c>
      <c r="AF79" s="30" t="s">
        <v>1006</v>
      </c>
      <c r="AG79" s="30" t="n">
        <v>17.52</v>
      </c>
      <c r="AH79" s="30" t="s">
        <v>1006</v>
      </c>
      <c r="AI79" s="30" t="n">
        <v>8.06</v>
      </c>
      <c r="AJ79" s="30" t="s">
        <v>1006</v>
      </c>
      <c r="AK79" s="30" t="n">
        <v>13.34</v>
      </c>
      <c r="AL79" s="30" t="s">
        <v>1006</v>
      </c>
      <c r="AM79" s="30" t="n">
        <v>26.86</v>
      </c>
      <c r="AN79" s="30" t="s">
        <v>1006</v>
      </c>
      <c r="AO79" s="30" t="n">
        <v>65.24</v>
      </c>
      <c r="AP79" s="30" t="s">
        <v>1006</v>
      </c>
      <c r="AQ79" s="30" t="n">
        <v>65.05</v>
      </c>
      <c r="AR79" s="30" t="s">
        <v>1006</v>
      </c>
      <c r="AS79" s="30" t="n">
        <v>43.47</v>
      </c>
      <c r="AT79" s="30" t="s">
        <v>1005</v>
      </c>
      <c r="AU79" s="30" t="n">
        <v>566.63</v>
      </c>
      <c r="AV79" s="30" t="n">
        <v>0.241</v>
      </c>
      <c r="AW79" s="30" t="s">
        <v>1016</v>
      </c>
      <c r="AX79" s="30" t="s">
        <v>1008</v>
      </c>
      <c r="AY79" s="30" t="n">
        <v>1</v>
      </c>
      <c r="AZ79" s="30"/>
    </row>
    <row collapsed="false" customFormat="true" customHeight="true" hidden="false" ht="33" outlineLevel="0" r="80" s="73">
      <c r="A80" s="30" t="n">
        <v>75</v>
      </c>
      <c r="B80" s="30" t="s">
        <v>163</v>
      </c>
      <c r="C80" s="30" t="s">
        <v>1009</v>
      </c>
      <c r="D80" s="30" t="s">
        <v>999</v>
      </c>
      <c r="E80" s="30" t="s">
        <v>1010</v>
      </c>
      <c r="F80" s="30" t="s">
        <v>1011</v>
      </c>
      <c r="G80" s="30" t="s">
        <v>1002</v>
      </c>
      <c r="H80" s="30" t="s">
        <v>1003</v>
      </c>
      <c r="I80" s="30" t="n">
        <v>0</v>
      </c>
      <c r="J80" s="30"/>
      <c r="K80" s="30" t="n">
        <v>89</v>
      </c>
      <c r="L80" s="30"/>
      <c r="M80" s="30" t="s">
        <v>1015</v>
      </c>
      <c r="N80" s="30" t="s">
        <v>53</v>
      </c>
      <c r="O80" s="30"/>
      <c r="P80" s="30"/>
      <c r="Q80" s="30"/>
      <c r="R80" s="30"/>
      <c r="S80" s="30"/>
      <c r="T80" s="30"/>
      <c r="U80" s="30" t="n">
        <v>944.52</v>
      </c>
      <c r="V80" s="30" t="n">
        <v>944.52</v>
      </c>
      <c r="W80" s="30" t="n">
        <v>130.4</v>
      </c>
      <c r="X80" s="30" t="s">
        <v>1006</v>
      </c>
      <c r="Y80" s="30" t="n">
        <v>114.59</v>
      </c>
      <c r="Z80" s="30" t="s">
        <v>1006</v>
      </c>
      <c r="AA80" s="30" t="n">
        <v>115.19</v>
      </c>
      <c r="AB80" s="30" t="s">
        <v>1006</v>
      </c>
      <c r="AC80" s="30" t="n">
        <v>114.68</v>
      </c>
      <c r="AD80" s="30" t="s">
        <v>1006</v>
      </c>
      <c r="AE80" s="30" t="n">
        <v>53.93</v>
      </c>
      <c r="AF80" s="30" t="s">
        <v>1006</v>
      </c>
      <c r="AG80" s="30" t="n">
        <v>29.08</v>
      </c>
      <c r="AH80" s="30" t="s">
        <v>1006</v>
      </c>
      <c r="AI80" s="30" t="n">
        <v>12.69</v>
      </c>
      <c r="AJ80" s="30" t="s">
        <v>1006</v>
      </c>
      <c r="AK80" s="30" t="n">
        <v>19.9</v>
      </c>
      <c r="AL80" s="30" t="s">
        <v>1006</v>
      </c>
      <c r="AM80" s="30" t="n">
        <v>41.99</v>
      </c>
      <c r="AN80" s="30" t="s">
        <v>1006</v>
      </c>
      <c r="AO80" s="30" t="n">
        <v>124.13</v>
      </c>
      <c r="AP80" s="30" t="s">
        <v>1006</v>
      </c>
      <c r="AQ80" s="30" t="n">
        <v>91.84</v>
      </c>
      <c r="AR80" s="30" t="s">
        <v>1005</v>
      </c>
      <c r="AS80" s="30" t="n">
        <v>107.48</v>
      </c>
      <c r="AT80" s="30" t="s">
        <v>1005</v>
      </c>
      <c r="AU80" s="30" t="n">
        <v>955.9</v>
      </c>
      <c r="AV80" s="30" t="n">
        <v>0.364</v>
      </c>
      <c r="AW80" s="30" t="s">
        <v>1016</v>
      </c>
      <c r="AX80" s="30" t="s">
        <v>1008</v>
      </c>
      <c r="AY80" s="30" t="n">
        <v>1</v>
      </c>
      <c r="AZ80" s="30"/>
    </row>
    <row collapsed="false" customFormat="true" customHeight="true" hidden="false" ht="33" outlineLevel="0" r="81" s="73">
      <c r="A81" s="30" t="n">
        <v>76</v>
      </c>
      <c r="B81" s="30" t="s">
        <v>164</v>
      </c>
      <c r="C81" s="30" t="s">
        <v>1009</v>
      </c>
      <c r="D81" s="30" t="s">
        <v>999</v>
      </c>
      <c r="E81" s="30" t="s">
        <v>1010</v>
      </c>
      <c r="F81" s="30" t="s">
        <v>1011</v>
      </c>
      <c r="G81" s="30" t="s">
        <v>1002</v>
      </c>
      <c r="H81" s="30" t="s">
        <v>1003</v>
      </c>
      <c r="I81" s="30" t="n">
        <v>1</v>
      </c>
      <c r="J81" s="30"/>
      <c r="K81" s="30" t="n">
        <v>89</v>
      </c>
      <c r="L81" s="30"/>
      <c r="M81" s="30" t="s">
        <v>1015</v>
      </c>
      <c r="N81" s="30" t="s">
        <v>53</v>
      </c>
      <c r="O81" s="30"/>
      <c r="P81" s="30"/>
      <c r="Q81" s="30"/>
      <c r="R81" s="30"/>
      <c r="S81" s="30"/>
      <c r="T81" s="30"/>
      <c r="U81" s="30" t="n">
        <v>906.84</v>
      </c>
      <c r="V81" s="30" t="n">
        <v>910.84</v>
      </c>
      <c r="W81" s="30" t="n">
        <v>119.65</v>
      </c>
      <c r="X81" s="30" t="s">
        <v>1006</v>
      </c>
      <c r="Y81" s="30" t="n">
        <v>107.64</v>
      </c>
      <c r="Z81" s="30" t="s">
        <v>1006</v>
      </c>
      <c r="AA81" s="30" t="n">
        <v>104.49</v>
      </c>
      <c r="AB81" s="30" t="s">
        <v>1006</v>
      </c>
      <c r="AC81" s="30" t="n">
        <v>106.09</v>
      </c>
      <c r="AD81" s="30" t="s">
        <v>1006</v>
      </c>
      <c r="AE81" s="30" t="n">
        <v>49.93</v>
      </c>
      <c r="AF81" s="30" t="s">
        <v>1006</v>
      </c>
      <c r="AG81" s="30" t="n">
        <v>28.74</v>
      </c>
      <c r="AH81" s="30" t="s">
        <v>1006</v>
      </c>
      <c r="AI81" s="30" t="n">
        <v>11.26</v>
      </c>
      <c r="AJ81" s="30" t="s">
        <v>1006</v>
      </c>
      <c r="AK81" s="30" t="n">
        <v>17.8</v>
      </c>
      <c r="AL81" s="30" t="s">
        <v>1006</v>
      </c>
      <c r="AM81" s="30" t="n">
        <v>39.52</v>
      </c>
      <c r="AN81" s="30" t="s">
        <v>1006</v>
      </c>
      <c r="AO81" s="30" t="n">
        <v>62.97</v>
      </c>
      <c r="AP81" s="30" t="s">
        <v>1005</v>
      </c>
      <c r="AQ81" s="30" t="n">
        <v>95.87</v>
      </c>
      <c r="AR81" s="30" t="s">
        <v>1005</v>
      </c>
      <c r="AS81" s="30" t="n">
        <v>113.85</v>
      </c>
      <c r="AT81" s="30" t="s">
        <v>1005</v>
      </c>
      <c r="AU81" s="30" t="n">
        <v>857.81</v>
      </c>
      <c r="AV81" s="30" t="n">
        <v>0.351</v>
      </c>
      <c r="AW81" s="30" t="s">
        <v>1016</v>
      </c>
      <c r="AX81" s="30" t="s">
        <v>1008</v>
      </c>
      <c r="AY81" s="30" t="n">
        <v>1</v>
      </c>
      <c r="AZ81" s="30"/>
    </row>
    <row collapsed="false" customFormat="true" customHeight="true" hidden="false" ht="33" outlineLevel="0" r="82" s="73">
      <c r="A82" s="30" t="n">
        <v>77</v>
      </c>
      <c r="B82" s="30" t="s">
        <v>165</v>
      </c>
      <c r="C82" s="30" t="s">
        <v>1009</v>
      </c>
      <c r="D82" s="30" t="s">
        <v>999</v>
      </c>
      <c r="E82" s="30" t="s">
        <v>1010</v>
      </c>
      <c r="F82" s="30" t="s">
        <v>1011</v>
      </c>
      <c r="G82" s="30" t="s">
        <v>1002</v>
      </c>
      <c r="H82" s="30" t="s">
        <v>1003</v>
      </c>
      <c r="I82" s="30" t="n">
        <v>1</v>
      </c>
      <c r="J82" s="30"/>
      <c r="K82" s="30" t="n">
        <v>89</v>
      </c>
      <c r="L82" s="30"/>
      <c r="M82" s="30" t="s">
        <v>1015</v>
      </c>
      <c r="N82" s="30" t="s">
        <v>53</v>
      </c>
      <c r="O82" s="30"/>
      <c r="P82" s="30"/>
      <c r="Q82" s="30"/>
      <c r="R82" s="30"/>
      <c r="S82" s="30"/>
      <c r="T82" s="30"/>
      <c r="U82" s="30" t="n">
        <v>781.57</v>
      </c>
      <c r="V82" s="30" t="n">
        <v>871.57</v>
      </c>
      <c r="W82" s="30" t="n">
        <v>103.96</v>
      </c>
      <c r="X82" s="30" t="s">
        <v>1006</v>
      </c>
      <c r="Y82" s="30" t="n">
        <v>92.87</v>
      </c>
      <c r="Z82" s="30" t="s">
        <v>1006</v>
      </c>
      <c r="AA82" s="30" t="n">
        <v>93.45</v>
      </c>
      <c r="AB82" s="30" t="s">
        <v>1006</v>
      </c>
      <c r="AC82" s="30" t="n">
        <v>92.13</v>
      </c>
      <c r="AD82" s="30" t="s">
        <v>1006</v>
      </c>
      <c r="AE82" s="30" t="n">
        <v>45.62</v>
      </c>
      <c r="AF82" s="30" t="s">
        <v>1006</v>
      </c>
      <c r="AG82" s="30" t="n">
        <v>21.51</v>
      </c>
      <c r="AH82" s="30" t="s">
        <v>1006</v>
      </c>
      <c r="AI82" s="30" t="n">
        <v>12.08</v>
      </c>
      <c r="AJ82" s="30" t="s">
        <v>1006</v>
      </c>
      <c r="AK82" s="30" t="n">
        <v>15.19</v>
      </c>
      <c r="AL82" s="30" t="s">
        <v>1006</v>
      </c>
      <c r="AM82" s="30" t="n">
        <v>33.18</v>
      </c>
      <c r="AN82" s="30" t="s">
        <v>1006</v>
      </c>
      <c r="AO82" s="30" t="n">
        <v>86.47</v>
      </c>
      <c r="AP82" s="30" t="s">
        <v>1006</v>
      </c>
      <c r="AQ82" s="30" t="n">
        <v>82.63</v>
      </c>
      <c r="AR82" s="30" t="s">
        <v>1006</v>
      </c>
      <c r="AS82" s="30" t="n">
        <v>54.77</v>
      </c>
      <c r="AT82" s="30" t="s">
        <v>1005</v>
      </c>
      <c r="AU82" s="30" t="n">
        <v>733.86</v>
      </c>
      <c r="AV82" s="30" t="n">
        <v>0.256</v>
      </c>
      <c r="AW82" s="30" t="s">
        <v>1016</v>
      </c>
      <c r="AX82" s="30" t="s">
        <v>1008</v>
      </c>
      <c r="AY82" s="30" t="n">
        <v>1</v>
      </c>
      <c r="AZ82" s="30"/>
    </row>
    <row collapsed="false" customFormat="true" customHeight="true" hidden="false" ht="33" outlineLevel="0" r="83" s="73">
      <c r="A83" s="30" t="n">
        <v>78</v>
      </c>
      <c r="B83" s="30" t="s">
        <v>166</v>
      </c>
      <c r="C83" s="30" t="s">
        <v>1009</v>
      </c>
      <c r="D83" s="30" t="s">
        <v>999</v>
      </c>
      <c r="E83" s="30" t="s">
        <v>1010</v>
      </c>
      <c r="F83" s="30" t="s">
        <v>1011</v>
      </c>
      <c r="G83" s="30" t="s">
        <v>1002</v>
      </c>
      <c r="H83" s="30" t="s">
        <v>1003</v>
      </c>
      <c r="I83" s="30" t="n">
        <v>1</v>
      </c>
      <c r="J83" s="30"/>
      <c r="K83" s="30" t="n">
        <v>89</v>
      </c>
      <c r="L83" s="30"/>
      <c r="M83" s="30" t="s">
        <v>1015</v>
      </c>
      <c r="N83" s="30" t="s">
        <v>53</v>
      </c>
      <c r="O83" s="30"/>
      <c r="P83" s="30"/>
      <c r="Q83" s="30"/>
      <c r="R83" s="30"/>
      <c r="S83" s="30"/>
      <c r="T83" s="30"/>
      <c r="U83" s="30" t="n">
        <v>645.26</v>
      </c>
      <c r="V83" s="30" t="n">
        <v>645.26</v>
      </c>
      <c r="W83" s="30" t="n">
        <v>65.11</v>
      </c>
      <c r="X83" s="30" t="s">
        <v>1006</v>
      </c>
      <c r="Y83" s="30" t="n">
        <v>58.85</v>
      </c>
      <c r="Z83" s="30" t="s">
        <v>1006</v>
      </c>
      <c r="AA83" s="30" t="n">
        <v>60.07</v>
      </c>
      <c r="AB83" s="30" t="s">
        <v>1006</v>
      </c>
      <c r="AC83" s="30" t="n">
        <v>58.9</v>
      </c>
      <c r="AD83" s="30" t="s">
        <v>1006</v>
      </c>
      <c r="AE83" s="30" t="n">
        <v>33.16</v>
      </c>
      <c r="AF83" s="30" t="s">
        <v>1006</v>
      </c>
      <c r="AG83" s="30" t="n">
        <v>17.71</v>
      </c>
      <c r="AH83" s="30" t="s">
        <v>1006</v>
      </c>
      <c r="AI83" s="30" t="n">
        <v>9.35</v>
      </c>
      <c r="AJ83" s="30" t="s">
        <v>1006</v>
      </c>
      <c r="AK83" s="30" t="n">
        <v>10.87</v>
      </c>
      <c r="AL83" s="30" t="s">
        <v>1006</v>
      </c>
      <c r="AM83" s="30" t="n">
        <v>23.92</v>
      </c>
      <c r="AN83" s="30" t="s">
        <v>1006</v>
      </c>
      <c r="AO83" s="30" t="n">
        <v>32.38</v>
      </c>
      <c r="AP83" s="30" t="s">
        <v>1005</v>
      </c>
      <c r="AQ83" s="30" t="n">
        <v>47.3</v>
      </c>
      <c r="AR83" s="30" t="s">
        <v>1005</v>
      </c>
      <c r="AS83" s="30" t="n">
        <v>55.57</v>
      </c>
      <c r="AT83" s="30" t="s">
        <v>1005</v>
      </c>
      <c r="AU83" s="30" t="n">
        <v>473.19</v>
      </c>
      <c r="AV83" s="30" t="n">
        <v>0.209</v>
      </c>
      <c r="AW83" s="30" t="s">
        <v>1016</v>
      </c>
      <c r="AX83" s="30" t="s">
        <v>1008</v>
      </c>
      <c r="AY83" s="30" t="n">
        <v>1</v>
      </c>
      <c r="AZ83" s="30"/>
    </row>
    <row collapsed="false" customFormat="true" customHeight="true" hidden="false" ht="33" outlineLevel="0" r="84" s="73">
      <c r="A84" s="30" t="n">
        <v>79</v>
      </c>
      <c r="B84" s="30" t="s">
        <v>167</v>
      </c>
      <c r="C84" s="30" t="s">
        <v>1009</v>
      </c>
      <c r="D84" s="30" t="s">
        <v>999</v>
      </c>
      <c r="E84" s="30" t="s">
        <v>1010</v>
      </c>
      <c r="F84" s="30" t="s">
        <v>1011</v>
      </c>
      <c r="G84" s="30" t="s">
        <v>1002</v>
      </c>
      <c r="H84" s="30" t="s">
        <v>1003</v>
      </c>
      <c r="I84" s="30" t="n">
        <v>1</v>
      </c>
      <c r="J84" s="30"/>
      <c r="K84" s="30" t="n">
        <v>89</v>
      </c>
      <c r="L84" s="30"/>
      <c r="M84" s="30" t="s">
        <v>1015</v>
      </c>
      <c r="N84" s="30" t="s">
        <v>53</v>
      </c>
      <c r="O84" s="30"/>
      <c r="P84" s="30"/>
      <c r="Q84" s="30"/>
      <c r="R84" s="30"/>
      <c r="S84" s="30"/>
      <c r="T84" s="30"/>
      <c r="U84" s="30" t="n">
        <v>731.99</v>
      </c>
      <c r="V84" s="30" t="n">
        <v>731.99</v>
      </c>
      <c r="W84" s="30" t="n">
        <v>102.92</v>
      </c>
      <c r="X84" s="30" t="s">
        <v>1006</v>
      </c>
      <c r="Y84" s="30" t="n">
        <v>90.83</v>
      </c>
      <c r="Z84" s="30" t="s">
        <v>1006</v>
      </c>
      <c r="AA84" s="30" t="n">
        <v>97.05</v>
      </c>
      <c r="AB84" s="30" t="s">
        <v>1006</v>
      </c>
      <c r="AC84" s="30" t="n">
        <v>93</v>
      </c>
      <c r="AD84" s="30" t="s">
        <v>1006</v>
      </c>
      <c r="AE84" s="30" t="n">
        <v>45.59</v>
      </c>
      <c r="AF84" s="30" t="s">
        <v>1006</v>
      </c>
      <c r="AG84" s="30" t="n">
        <v>22.62</v>
      </c>
      <c r="AH84" s="30" t="s">
        <v>1006</v>
      </c>
      <c r="AI84" s="30" t="n">
        <v>12.14</v>
      </c>
      <c r="AJ84" s="30" t="s">
        <v>1006</v>
      </c>
      <c r="AK84" s="30" t="n">
        <v>19.68</v>
      </c>
      <c r="AL84" s="30" t="s">
        <v>1006</v>
      </c>
      <c r="AM84" s="30" t="n">
        <v>36.34</v>
      </c>
      <c r="AN84" s="30" t="s">
        <v>1006</v>
      </c>
      <c r="AO84" s="30" t="n">
        <v>50.5</v>
      </c>
      <c r="AP84" s="30" t="s">
        <v>1005</v>
      </c>
      <c r="AQ84" s="30" t="n">
        <v>77.52</v>
      </c>
      <c r="AR84" s="30" t="s">
        <v>1005</v>
      </c>
      <c r="AS84" s="30" t="n">
        <v>93.84</v>
      </c>
      <c r="AT84" s="30" t="s">
        <v>1005</v>
      </c>
      <c r="AU84" s="30" t="n">
        <v>742.03</v>
      </c>
      <c r="AV84" s="30" t="n">
        <v>0.28</v>
      </c>
      <c r="AW84" s="30" t="s">
        <v>1016</v>
      </c>
      <c r="AX84" s="30" t="s">
        <v>1008</v>
      </c>
      <c r="AY84" s="30" t="n">
        <v>1</v>
      </c>
      <c r="AZ84" s="30"/>
    </row>
    <row collapsed="false" customFormat="true" customHeight="true" hidden="false" ht="33" outlineLevel="0" r="85" s="73">
      <c r="A85" s="30" t="n">
        <v>80</v>
      </c>
      <c r="B85" s="30" t="s">
        <v>168</v>
      </c>
      <c r="C85" s="30" t="s">
        <v>1009</v>
      </c>
      <c r="D85" s="30" t="s">
        <v>999</v>
      </c>
      <c r="E85" s="30" t="s">
        <v>1010</v>
      </c>
      <c r="F85" s="30" t="s">
        <v>1011</v>
      </c>
      <c r="G85" s="30" t="s">
        <v>1002</v>
      </c>
      <c r="H85" s="30" t="s">
        <v>1003</v>
      </c>
      <c r="I85" s="30" t="n">
        <v>1</v>
      </c>
      <c r="J85" s="30"/>
      <c r="K85" s="30" t="n">
        <v>89</v>
      </c>
      <c r="L85" s="30"/>
      <c r="M85" s="30" t="s">
        <v>1015</v>
      </c>
      <c r="N85" s="30" t="s">
        <v>53</v>
      </c>
      <c r="O85" s="30"/>
      <c r="P85" s="30"/>
      <c r="Q85" s="30"/>
      <c r="R85" s="30"/>
      <c r="S85" s="30"/>
      <c r="T85" s="30"/>
      <c r="U85" s="30" t="n">
        <v>943.95</v>
      </c>
      <c r="V85" s="30" t="n">
        <v>943.95</v>
      </c>
      <c r="W85" s="30" t="n">
        <v>116.84</v>
      </c>
      <c r="X85" s="30" t="s">
        <v>1006</v>
      </c>
      <c r="Y85" s="30" t="n">
        <v>102.18</v>
      </c>
      <c r="Z85" s="30" t="s">
        <v>1006</v>
      </c>
      <c r="AA85" s="30" t="n">
        <v>102.42</v>
      </c>
      <c r="AB85" s="30" t="s">
        <v>1006</v>
      </c>
      <c r="AC85" s="30" t="n">
        <v>100.88</v>
      </c>
      <c r="AD85" s="30" t="s">
        <v>1006</v>
      </c>
      <c r="AE85" s="30" t="n">
        <v>47.3</v>
      </c>
      <c r="AF85" s="30" t="s">
        <v>1006</v>
      </c>
      <c r="AG85" s="30" t="n">
        <v>21.16</v>
      </c>
      <c r="AH85" s="30" t="s">
        <v>1006</v>
      </c>
      <c r="AI85" s="30" t="n">
        <v>14.78</v>
      </c>
      <c r="AJ85" s="30" t="s">
        <v>1006</v>
      </c>
      <c r="AK85" s="30" t="n">
        <v>18.97</v>
      </c>
      <c r="AL85" s="30" t="s">
        <v>1006</v>
      </c>
      <c r="AM85" s="30" t="n">
        <v>38.21</v>
      </c>
      <c r="AN85" s="30" t="s">
        <v>1006</v>
      </c>
      <c r="AO85" s="30" t="n">
        <v>95</v>
      </c>
      <c r="AP85" s="30" t="s">
        <v>1006</v>
      </c>
      <c r="AQ85" s="30" t="n">
        <v>50.21</v>
      </c>
      <c r="AR85" s="30" t="s">
        <v>1005</v>
      </c>
      <c r="AS85" s="30" t="n">
        <v>90.42</v>
      </c>
      <c r="AT85" s="30" t="s">
        <v>1005</v>
      </c>
      <c r="AU85" s="30" t="n">
        <v>798.37</v>
      </c>
      <c r="AV85" s="30" t="n">
        <v>0.386</v>
      </c>
      <c r="AW85" s="30" t="s">
        <v>1016</v>
      </c>
      <c r="AX85" s="30" t="s">
        <v>1008</v>
      </c>
      <c r="AY85" s="30" t="n">
        <v>1</v>
      </c>
      <c r="AZ85" s="30"/>
    </row>
    <row collapsed="false" customFormat="true" customHeight="true" hidden="false" ht="33" outlineLevel="0" r="86" s="73">
      <c r="A86" s="30" t="n">
        <v>81</v>
      </c>
      <c r="B86" s="30" t="s">
        <v>169</v>
      </c>
      <c r="C86" s="30" t="s">
        <v>1009</v>
      </c>
      <c r="D86" s="30" t="s">
        <v>999</v>
      </c>
      <c r="E86" s="30" t="s">
        <v>1010</v>
      </c>
      <c r="F86" s="30" t="s">
        <v>1011</v>
      </c>
      <c r="G86" s="30" t="s">
        <v>1002</v>
      </c>
      <c r="H86" s="30" t="s">
        <v>1003</v>
      </c>
      <c r="I86" s="30" t="n">
        <v>0</v>
      </c>
      <c r="J86" s="30"/>
      <c r="K86" s="30" t="n">
        <v>89</v>
      </c>
      <c r="L86" s="30"/>
      <c r="M86" s="30" t="s">
        <v>1015</v>
      </c>
      <c r="N86" s="30" t="s">
        <v>53</v>
      </c>
      <c r="O86" s="30"/>
      <c r="P86" s="30"/>
      <c r="Q86" s="30"/>
      <c r="R86" s="30"/>
      <c r="S86" s="30"/>
      <c r="T86" s="30"/>
      <c r="U86" s="30" t="n">
        <v>1424.74</v>
      </c>
      <c r="V86" s="30" t="n">
        <v>1424.74</v>
      </c>
      <c r="W86" s="30" t="n">
        <v>140.87</v>
      </c>
      <c r="X86" s="30" t="s">
        <v>1006</v>
      </c>
      <c r="Y86" s="30" t="n">
        <v>118.3</v>
      </c>
      <c r="Z86" s="30" t="s">
        <v>1006</v>
      </c>
      <c r="AA86" s="30" t="n">
        <v>118.03</v>
      </c>
      <c r="AB86" s="30" t="s">
        <v>1006</v>
      </c>
      <c r="AC86" s="30" t="n">
        <v>117.18</v>
      </c>
      <c r="AD86" s="30" t="s">
        <v>1006</v>
      </c>
      <c r="AE86" s="30" t="n">
        <v>58.91</v>
      </c>
      <c r="AF86" s="30" t="s">
        <v>1006</v>
      </c>
      <c r="AG86" s="30" t="n">
        <v>25.5</v>
      </c>
      <c r="AH86" s="30" t="s">
        <v>1006</v>
      </c>
      <c r="AI86" s="30" t="n">
        <v>9.21</v>
      </c>
      <c r="AJ86" s="30" t="s">
        <v>1006</v>
      </c>
      <c r="AK86" s="30" t="n">
        <v>15.5</v>
      </c>
      <c r="AL86" s="30" t="s">
        <v>1006</v>
      </c>
      <c r="AM86" s="30" t="n">
        <v>29.26</v>
      </c>
      <c r="AN86" s="30" t="s">
        <v>1006</v>
      </c>
      <c r="AO86" s="30" t="n">
        <v>95.87</v>
      </c>
      <c r="AP86" s="30" t="s">
        <v>1006</v>
      </c>
      <c r="AQ86" s="30" t="n">
        <v>97.6</v>
      </c>
      <c r="AR86" s="30" t="s">
        <v>1005</v>
      </c>
      <c r="AS86" s="30" t="n">
        <v>160.71</v>
      </c>
      <c r="AT86" s="30" t="s">
        <v>1005</v>
      </c>
      <c r="AU86" s="30" t="n">
        <v>986.94</v>
      </c>
      <c r="AV86" s="30" t="n">
        <v>0.42</v>
      </c>
      <c r="AW86" s="30" t="s">
        <v>1016</v>
      </c>
      <c r="AX86" s="30" t="s">
        <v>1008</v>
      </c>
      <c r="AY86" s="30" t="n">
        <v>0</v>
      </c>
      <c r="AZ86" s="30"/>
    </row>
    <row collapsed="false" customFormat="true" customHeight="true" hidden="false" ht="33" outlineLevel="0" r="87" s="73">
      <c r="A87" s="30" t="n">
        <v>82</v>
      </c>
      <c r="B87" s="30" t="s">
        <v>170</v>
      </c>
      <c r="C87" s="30" t="s">
        <v>1009</v>
      </c>
      <c r="D87" s="30" t="s">
        <v>999</v>
      </c>
      <c r="E87" s="30" t="s">
        <v>1010</v>
      </c>
      <c r="F87" s="30" t="s">
        <v>1011</v>
      </c>
      <c r="G87" s="30" t="s">
        <v>1002</v>
      </c>
      <c r="H87" s="30" t="s">
        <v>1003</v>
      </c>
      <c r="I87" s="30" t="n">
        <v>0</v>
      </c>
      <c r="J87" s="30"/>
      <c r="K87" s="30" t="n">
        <v>89</v>
      </c>
      <c r="L87" s="30"/>
      <c r="M87" s="30" t="s">
        <v>1015</v>
      </c>
      <c r="N87" s="30" t="s">
        <v>53</v>
      </c>
      <c r="O87" s="30"/>
      <c r="P87" s="30"/>
      <c r="Q87" s="30"/>
      <c r="R87" s="30"/>
      <c r="S87" s="30"/>
      <c r="T87" s="30"/>
      <c r="U87" s="30" t="n">
        <v>2011.12</v>
      </c>
      <c r="V87" s="30" t="n">
        <v>2011.12</v>
      </c>
      <c r="W87" s="30" t="n">
        <v>133.34</v>
      </c>
      <c r="X87" s="30" t="s">
        <v>1006</v>
      </c>
      <c r="Y87" s="30" t="n">
        <v>118.34</v>
      </c>
      <c r="Z87" s="30" t="s">
        <v>1006</v>
      </c>
      <c r="AA87" s="30" t="n">
        <v>119.82</v>
      </c>
      <c r="AB87" s="30" t="s">
        <v>1006</v>
      </c>
      <c r="AC87" s="30" t="n">
        <v>120.38</v>
      </c>
      <c r="AD87" s="30" t="s">
        <v>1006</v>
      </c>
      <c r="AE87" s="30" t="n">
        <v>58.3</v>
      </c>
      <c r="AF87" s="30" t="s">
        <v>1006</v>
      </c>
      <c r="AG87" s="30" t="n">
        <v>25.6</v>
      </c>
      <c r="AH87" s="30" t="s">
        <v>1006</v>
      </c>
      <c r="AI87" s="30" t="n">
        <v>11.49</v>
      </c>
      <c r="AJ87" s="30" t="s">
        <v>1006</v>
      </c>
      <c r="AK87" s="30" t="n">
        <v>19.73</v>
      </c>
      <c r="AL87" s="30" t="s">
        <v>1006</v>
      </c>
      <c r="AM87" s="30" t="n">
        <v>33.39</v>
      </c>
      <c r="AN87" s="30" t="s">
        <v>1006</v>
      </c>
      <c r="AO87" s="30" t="n">
        <v>100.92</v>
      </c>
      <c r="AP87" s="30" t="s">
        <v>1006</v>
      </c>
      <c r="AQ87" s="30" t="n">
        <v>100.97</v>
      </c>
      <c r="AR87" s="30" t="s">
        <v>1005</v>
      </c>
      <c r="AS87" s="30" t="n">
        <v>166.12</v>
      </c>
      <c r="AT87" s="30" t="s">
        <v>1005</v>
      </c>
      <c r="AU87" s="30" t="n">
        <v>1008.4</v>
      </c>
      <c r="AV87" s="30" t="n">
        <v>0.428</v>
      </c>
      <c r="AW87" s="30" t="s">
        <v>1016</v>
      </c>
      <c r="AX87" s="30" t="s">
        <v>1008</v>
      </c>
      <c r="AY87" s="30" t="n">
        <v>0</v>
      </c>
      <c r="AZ87" s="30"/>
    </row>
    <row collapsed="false" customFormat="true" customHeight="true" hidden="false" ht="33" outlineLevel="0" r="88" s="73">
      <c r="A88" s="30" t="n">
        <v>83</v>
      </c>
      <c r="B88" s="30" t="s">
        <v>171</v>
      </c>
      <c r="C88" s="30" t="s">
        <v>1009</v>
      </c>
      <c r="D88" s="30" t="s">
        <v>999</v>
      </c>
      <c r="E88" s="30" t="s">
        <v>1010</v>
      </c>
      <c r="F88" s="30" t="s">
        <v>1011</v>
      </c>
      <c r="G88" s="30" t="s">
        <v>1002</v>
      </c>
      <c r="H88" s="30" t="s">
        <v>1003</v>
      </c>
      <c r="I88" s="30" t="n">
        <v>0</v>
      </c>
      <c r="J88" s="30"/>
      <c r="K88" s="30" t="n">
        <v>89</v>
      </c>
      <c r="L88" s="30"/>
      <c r="M88" s="30" t="s">
        <v>1015</v>
      </c>
      <c r="N88" s="30" t="s">
        <v>53</v>
      </c>
      <c r="O88" s="30"/>
      <c r="P88" s="30"/>
      <c r="Q88" s="30"/>
      <c r="R88" s="30"/>
      <c r="S88" s="30"/>
      <c r="T88" s="30"/>
      <c r="U88" s="30" t="n">
        <v>2011.12</v>
      </c>
      <c r="V88" s="30" t="n">
        <v>2011.12</v>
      </c>
      <c r="W88" s="30" t="n">
        <v>133.5</v>
      </c>
      <c r="X88" s="30" t="s">
        <v>1006</v>
      </c>
      <c r="Y88" s="30" t="n">
        <v>117.77</v>
      </c>
      <c r="Z88" s="30" t="s">
        <v>1006</v>
      </c>
      <c r="AA88" s="30" t="n">
        <v>118.53</v>
      </c>
      <c r="AB88" s="30" t="s">
        <v>1006</v>
      </c>
      <c r="AC88" s="30" t="n">
        <v>117</v>
      </c>
      <c r="AD88" s="30" t="s">
        <v>1006</v>
      </c>
      <c r="AE88" s="30" t="n">
        <v>53.94</v>
      </c>
      <c r="AF88" s="30" t="s">
        <v>1006</v>
      </c>
      <c r="AG88" s="30" t="n">
        <v>20.82</v>
      </c>
      <c r="AH88" s="30" t="s">
        <v>1006</v>
      </c>
      <c r="AI88" s="30" t="n">
        <v>11.44</v>
      </c>
      <c r="AJ88" s="30" t="s">
        <v>1006</v>
      </c>
      <c r="AK88" s="30" t="n">
        <v>17.75</v>
      </c>
      <c r="AL88" s="30" t="s">
        <v>1006</v>
      </c>
      <c r="AM88" s="30" t="n">
        <v>30.25</v>
      </c>
      <c r="AN88" s="30" t="s">
        <v>1006</v>
      </c>
      <c r="AO88" s="30" t="n">
        <v>99.9</v>
      </c>
      <c r="AP88" s="30" t="s">
        <v>1006</v>
      </c>
      <c r="AQ88" s="30" t="n">
        <v>101.92</v>
      </c>
      <c r="AR88" s="30" t="s">
        <v>1005</v>
      </c>
      <c r="AS88" s="30" t="n">
        <v>167.49</v>
      </c>
      <c r="AT88" s="30" t="s">
        <v>1005</v>
      </c>
      <c r="AU88" s="30" t="n">
        <v>990.31</v>
      </c>
      <c r="AV88" s="30" t="n">
        <v>0.428</v>
      </c>
      <c r="AW88" s="30" t="s">
        <v>1016</v>
      </c>
      <c r="AX88" s="30" t="s">
        <v>1008</v>
      </c>
      <c r="AY88" s="30" t="n">
        <v>0</v>
      </c>
      <c r="AZ88" s="30"/>
    </row>
    <row collapsed="false" customFormat="true" customHeight="true" hidden="false" ht="33" outlineLevel="0" r="89" s="73">
      <c r="A89" s="30" t="n">
        <v>84</v>
      </c>
      <c r="B89" s="30" t="s">
        <v>172</v>
      </c>
      <c r="C89" s="30" t="s">
        <v>1009</v>
      </c>
      <c r="D89" s="30" t="s">
        <v>999</v>
      </c>
      <c r="E89" s="30" t="s">
        <v>1010</v>
      </c>
      <c r="F89" s="30" t="s">
        <v>1011</v>
      </c>
      <c r="G89" s="30" t="s">
        <v>1002</v>
      </c>
      <c r="H89" s="30" t="s">
        <v>1003</v>
      </c>
      <c r="I89" s="30" t="n">
        <v>1</v>
      </c>
      <c r="J89" s="30"/>
      <c r="K89" s="30" t="n">
        <v>89</v>
      </c>
      <c r="L89" s="30"/>
      <c r="M89" s="30" t="s">
        <v>1015</v>
      </c>
      <c r="N89" s="30" t="s">
        <v>53</v>
      </c>
      <c r="O89" s="30"/>
      <c r="P89" s="30"/>
      <c r="Q89" s="30"/>
      <c r="R89" s="30"/>
      <c r="S89" s="30"/>
      <c r="T89" s="30"/>
      <c r="U89" s="30" t="n">
        <v>1391.06</v>
      </c>
      <c r="V89" s="30" t="n">
        <v>1391.06</v>
      </c>
      <c r="W89" s="30" t="n">
        <v>134.94</v>
      </c>
      <c r="X89" s="30" t="s">
        <v>1006</v>
      </c>
      <c r="Y89" s="30" t="n">
        <v>122.67</v>
      </c>
      <c r="Z89" s="30" t="s">
        <v>1006</v>
      </c>
      <c r="AA89" s="30" t="n">
        <v>123.59</v>
      </c>
      <c r="AB89" s="30" t="s">
        <v>1006</v>
      </c>
      <c r="AC89" s="30" t="n">
        <v>120.51</v>
      </c>
      <c r="AD89" s="30" t="s">
        <v>1006</v>
      </c>
      <c r="AE89" s="30" t="n">
        <v>61.54</v>
      </c>
      <c r="AF89" s="30" t="s">
        <v>1006</v>
      </c>
      <c r="AG89" s="30" t="n">
        <v>28.02</v>
      </c>
      <c r="AH89" s="30" t="s">
        <v>1006</v>
      </c>
      <c r="AI89" s="30" t="n">
        <v>10.6</v>
      </c>
      <c r="AJ89" s="30" t="s">
        <v>1006</v>
      </c>
      <c r="AK89" s="30" t="n">
        <v>21.47</v>
      </c>
      <c r="AL89" s="30" t="s">
        <v>1006</v>
      </c>
      <c r="AM89" s="30" t="n">
        <v>31.69</v>
      </c>
      <c r="AN89" s="30" t="s">
        <v>1006</v>
      </c>
      <c r="AO89" s="30" t="n">
        <v>112.06</v>
      </c>
      <c r="AP89" s="30" t="s">
        <v>1006</v>
      </c>
      <c r="AQ89" s="30" t="n">
        <v>96.98</v>
      </c>
      <c r="AR89" s="30" t="s">
        <v>1005</v>
      </c>
      <c r="AS89" s="30" t="n">
        <v>159.78</v>
      </c>
      <c r="AT89" s="30" t="s">
        <v>1005</v>
      </c>
      <c r="AU89" s="30" t="n">
        <v>1023.85</v>
      </c>
      <c r="AV89" s="30" t="n">
        <v>0.42</v>
      </c>
      <c r="AW89" s="30" t="s">
        <v>1016</v>
      </c>
      <c r="AX89" s="30" t="s">
        <v>1008</v>
      </c>
      <c r="AY89" s="30" t="n">
        <v>1</v>
      </c>
      <c r="AZ89" s="30"/>
    </row>
    <row collapsed="false" customFormat="true" customHeight="true" hidden="false" ht="33" outlineLevel="0" r="90" s="73">
      <c r="A90" s="30" t="n">
        <v>85</v>
      </c>
      <c r="B90" s="30" t="s">
        <v>173</v>
      </c>
      <c r="C90" s="30" t="s">
        <v>1009</v>
      </c>
      <c r="D90" s="30" t="s">
        <v>999</v>
      </c>
      <c r="E90" s="30" t="s">
        <v>1010</v>
      </c>
      <c r="F90" s="30" t="s">
        <v>1011</v>
      </c>
      <c r="G90" s="30" t="s">
        <v>1002</v>
      </c>
      <c r="H90" s="30" t="s">
        <v>1003</v>
      </c>
      <c r="I90" s="30" t="n">
        <v>2</v>
      </c>
      <c r="J90" s="30"/>
      <c r="K90" s="30" t="n">
        <v>89</v>
      </c>
      <c r="L90" s="30"/>
      <c r="M90" s="30" t="s">
        <v>1015</v>
      </c>
      <c r="N90" s="30" t="s">
        <v>53</v>
      </c>
      <c r="O90" s="30"/>
      <c r="P90" s="30"/>
      <c r="Q90" s="30"/>
      <c r="R90" s="30"/>
      <c r="S90" s="30"/>
      <c r="T90" s="30"/>
      <c r="U90" s="30" t="n">
        <v>1332.1</v>
      </c>
      <c r="V90" s="30" t="n">
        <v>1332.1</v>
      </c>
      <c r="W90" s="30" t="n">
        <v>156.25</v>
      </c>
      <c r="X90" s="30" t="s">
        <v>1006</v>
      </c>
      <c r="Y90" s="30" t="n">
        <v>140.62</v>
      </c>
      <c r="Z90" s="30" t="s">
        <v>1006</v>
      </c>
      <c r="AA90" s="30" t="n">
        <v>140.05</v>
      </c>
      <c r="AB90" s="30" t="s">
        <v>1006</v>
      </c>
      <c r="AC90" s="30" t="n">
        <v>140.86</v>
      </c>
      <c r="AD90" s="30" t="s">
        <v>1006</v>
      </c>
      <c r="AE90" s="30" t="n">
        <v>71.25</v>
      </c>
      <c r="AF90" s="30" t="s">
        <v>1006</v>
      </c>
      <c r="AG90" s="30" t="n">
        <v>34.77</v>
      </c>
      <c r="AH90" s="30" t="s">
        <v>1006</v>
      </c>
      <c r="AI90" s="30" t="n">
        <v>20.66</v>
      </c>
      <c r="AJ90" s="30" t="s">
        <v>1006</v>
      </c>
      <c r="AK90" s="30" t="n">
        <v>25.8</v>
      </c>
      <c r="AL90" s="30" t="s">
        <v>1006</v>
      </c>
      <c r="AM90" s="30" t="n">
        <v>51.98</v>
      </c>
      <c r="AN90" s="30" t="s">
        <v>1006</v>
      </c>
      <c r="AO90" s="30" t="n">
        <v>72.98</v>
      </c>
      <c r="AP90" s="30" t="s">
        <v>1005</v>
      </c>
      <c r="AQ90" s="30" t="n">
        <v>108.06</v>
      </c>
      <c r="AR90" s="30" t="s">
        <v>1005</v>
      </c>
      <c r="AS90" s="30" t="n">
        <v>126.26</v>
      </c>
      <c r="AT90" s="30" t="s">
        <v>1005</v>
      </c>
      <c r="AU90" s="30" t="n">
        <v>1089.54</v>
      </c>
      <c r="AV90" s="30" t="n">
        <v>0.471</v>
      </c>
      <c r="AW90" s="30" t="s">
        <v>1016</v>
      </c>
      <c r="AX90" s="30" t="s">
        <v>1008</v>
      </c>
      <c r="AY90" s="30" t="n">
        <v>2</v>
      </c>
      <c r="AZ90" s="30"/>
    </row>
    <row collapsed="false" customFormat="true" customHeight="true" hidden="false" ht="33" outlineLevel="0" r="91" s="73">
      <c r="A91" s="30" t="n">
        <v>86</v>
      </c>
      <c r="B91" s="30" t="s">
        <v>176</v>
      </c>
      <c r="C91" s="30" t="s">
        <v>1009</v>
      </c>
      <c r="D91" s="30" t="s">
        <v>999</v>
      </c>
      <c r="E91" s="30" t="s">
        <v>1010</v>
      </c>
      <c r="F91" s="30" t="s">
        <v>1011</v>
      </c>
      <c r="G91" s="30" t="s">
        <v>1002</v>
      </c>
      <c r="H91" s="30" t="s">
        <v>1003</v>
      </c>
      <c r="I91" s="30" t="n">
        <v>1</v>
      </c>
      <c r="J91" s="30"/>
      <c r="K91" s="30" t="n">
        <v>76</v>
      </c>
      <c r="L91" s="30"/>
      <c r="M91" s="30" t="s">
        <v>1012</v>
      </c>
      <c r="N91" s="30" t="s">
        <v>54</v>
      </c>
      <c r="O91" s="30"/>
      <c r="P91" s="30"/>
      <c r="Q91" s="30"/>
      <c r="R91" s="30"/>
      <c r="S91" s="30"/>
      <c r="T91" s="30"/>
      <c r="U91" s="30" t="n">
        <v>401.19</v>
      </c>
      <c r="V91" s="30" t="n">
        <v>401.19</v>
      </c>
      <c r="W91" s="30" t="n">
        <v>138.99</v>
      </c>
      <c r="X91" s="30" t="s">
        <v>1005</v>
      </c>
      <c r="Y91" s="30" t="n">
        <v>85.8</v>
      </c>
      <c r="Z91" s="30" t="s">
        <v>1005</v>
      </c>
      <c r="AA91" s="30" t="n">
        <v>124.34</v>
      </c>
      <c r="AB91" s="30" t="s">
        <v>1005</v>
      </c>
      <c r="AC91" s="30" t="n">
        <v>34.88</v>
      </c>
      <c r="AD91" s="30" t="s">
        <v>1005</v>
      </c>
      <c r="AE91" s="30" t="n">
        <v>21.69</v>
      </c>
      <c r="AF91" s="30" t="s">
        <v>1005</v>
      </c>
      <c r="AG91" s="30" t="n">
        <v>0</v>
      </c>
      <c r="AH91" s="30" t="s">
        <v>1005</v>
      </c>
      <c r="AI91" s="30" t="n">
        <v>0</v>
      </c>
      <c r="AJ91" s="30" t="s">
        <v>1005</v>
      </c>
      <c r="AK91" s="30" t="n">
        <v>0</v>
      </c>
      <c r="AL91" s="30" t="s">
        <v>1005</v>
      </c>
      <c r="AM91" s="30" t="n">
        <v>0</v>
      </c>
      <c r="AN91" s="30" t="s">
        <v>1005</v>
      </c>
      <c r="AO91" s="30" t="n">
        <v>53.76</v>
      </c>
      <c r="AP91" s="30" t="s">
        <v>1005</v>
      </c>
      <c r="AQ91" s="30" t="n">
        <v>64.03</v>
      </c>
      <c r="AR91" s="30" t="s">
        <v>1005</v>
      </c>
      <c r="AS91" s="30" t="n">
        <v>67.66</v>
      </c>
      <c r="AT91" s="30" t="s">
        <v>1005</v>
      </c>
      <c r="AU91" s="30" t="n">
        <v>591.15</v>
      </c>
      <c r="AV91" s="30" t="n">
        <v>0.22719</v>
      </c>
      <c r="AW91" s="30" t="s">
        <v>1013</v>
      </c>
      <c r="AX91" s="30" t="s">
        <v>1008</v>
      </c>
      <c r="AY91" s="30" t="n">
        <v>1</v>
      </c>
      <c r="AZ91" s="30"/>
    </row>
    <row collapsed="false" customFormat="true" customHeight="true" hidden="false" ht="33" outlineLevel="0" r="92" s="73">
      <c r="A92" s="30" t="n">
        <v>87</v>
      </c>
      <c r="B92" s="30" t="s">
        <v>177</v>
      </c>
      <c r="C92" s="30" t="s">
        <v>1009</v>
      </c>
      <c r="D92" s="30" t="s">
        <v>999</v>
      </c>
      <c r="E92" s="30" t="s">
        <v>1010</v>
      </c>
      <c r="F92" s="30" t="s">
        <v>1011</v>
      </c>
      <c r="G92" s="30" t="s">
        <v>1002</v>
      </c>
      <c r="H92" s="30" t="s">
        <v>1003</v>
      </c>
      <c r="I92" s="30" t="n">
        <v>1</v>
      </c>
      <c r="J92" s="30"/>
      <c r="K92" s="30" t="n">
        <v>76</v>
      </c>
      <c r="L92" s="30"/>
      <c r="M92" s="30" t="s">
        <v>1012</v>
      </c>
      <c r="N92" s="30" t="s">
        <v>54</v>
      </c>
      <c r="O92" s="30"/>
      <c r="P92" s="30"/>
      <c r="Q92" s="30"/>
      <c r="R92" s="30"/>
      <c r="S92" s="30"/>
      <c r="T92" s="30"/>
      <c r="U92" s="30" t="n">
        <v>739.92</v>
      </c>
      <c r="V92" s="30" t="n">
        <v>739.92</v>
      </c>
      <c r="W92" s="30" t="n">
        <v>97.47</v>
      </c>
      <c r="X92" s="30" t="s">
        <v>1006</v>
      </c>
      <c r="Y92" s="30" t="n">
        <v>94.62</v>
      </c>
      <c r="Z92" s="30" t="s">
        <v>1006</v>
      </c>
      <c r="AA92" s="30" t="n">
        <v>94.62</v>
      </c>
      <c r="AB92" s="30" t="s">
        <v>1006</v>
      </c>
      <c r="AC92" s="30" t="n">
        <v>94.62</v>
      </c>
      <c r="AD92" s="30" t="s">
        <v>1006</v>
      </c>
      <c r="AE92" s="30" t="n">
        <v>27.47</v>
      </c>
      <c r="AF92" s="30" t="s">
        <v>1006</v>
      </c>
      <c r="AG92" s="30" t="n">
        <v>0</v>
      </c>
      <c r="AH92" s="30" t="s">
        <v>1006</v>
      </c>
      <c r="AI92" s="30" t="n">
        <v>0</v>
      </c>
      <c r="AJ92" s="30" t="s">
        <v>1006</v>
      </c>
      <c r="AK92" s="30" t="n">
        <v>0</v>
      </c>
      <c r="AL92" s="30" t="s">
        <v>1006</v>
      </c>
      <c r="AM92" s="30" t="n">
        <v>0</v>
      </c>
      <c r="AN92" s="30" t="s">
        <v>1006</v>
      </c>
      <c r="AO92" s="30" t="n">
        <v>68.43</v>
      </c>
      <c r="AP92" s="30" t="s">
        <v>1005</v>
      </c>
      <c r="AQ92" s="30" t="n">
        <v>96.82</v>
      </c>
      <c r="AR92" s="30" t="s">
        <v>1005</v>
      </c>
      <c r="AS92" s="30" t="n">
        <v>134.51</v>
      </c>
      <c r="AT92" s="30" t="s">
        <v>1005</v>
      </c>
      <c r="AU92" s="30" t="n">
        <v>708.56</v>
      </c>
      <c r="AV92" s="30" t="n">
        <v>0.428</v>
      </c>
      <c r="AW92" s="30" t="s">
        <v>1013</v>
      </c>
      <c r="AX92" s="30" t="s">
        <v>1008</v>
      </c>
      <c r="AY92" s="30" t="n">
        <v>1</v>
      </c>
      <c r="AZ92" s="30"/>
    </row>
    <row collapsed="false" customFormat="true" customHeight="true" hidden="false" ht="33" outlineLevel="0" r="93" s="73">
      <c r="A93" s="30" t="n">
        <v>88</v>
      </c>
      <c r="B93" s="30" t="s">
        <v>178</v>
      </c>
      <c r="C93" s="30" t="s">
        <v>1009</v>
      </c>
      <c r="D93" s="30" t="s">
        <v>999</v>
      </c>
      <c r="E93" s="30" t="s">
        <v>1010</v>
      </c>
      <c r="F93" s="30" t="s">
        <v>1011</v>
      </c>
      <c r="G93" s="30" t="s">
        <v>1002</v>
      </c>
      <c r="H93" s="30" t="s">
        <v>1003</v>
      </c>
      <c r="I93" s="30" t="n">
        <v>1</v>
      </c>
      <c r="J93" s="30"/>
      <c r="K93" s="30" t="n">
        <v>76</v>
      </c>
      <c r="L93" s="30"/>
      <c r="M93" s="30" t="s">
        <v>1012</v>
      </c>
      <c r="N93" s="30" t="s">
        <v>54</v>
      </c>
      <c r="O93" s="30"/>
      <c r="P93" s="30"/>
      <c r="Q93" s="30"/>
      <c r="R93" s="30"/>
      <c r="S93" s="30"/>
      <c r="T93" s="30"/>
      <c r="U93" s="30" t="n">
        <v>498.84</v>
      </c>
      <c r="V93" s="30" t="n">
        <v>726.02</v>
      </c>
      <c r="W93" s="30" t="n">
        <v>92.14</v>
      </c>
      <c r="X93" s="30" t="s">
        <v>1005</v>
      </c>
      <c r="Y93" s="30" t="n">
        <v>91.56</v>
      </c>
      <c r="Z93" s="30" t="s">
        <v>1005</v>
      </c>
      <c r="AA93" s="30" t="n">
        <v>128.36</v>
      </c>
      <c r="AB93" s="30" t="s">
        <v>1005</v>
      </c>
      <c r="AC93" s="30" t="n">
        <v>39.27</v>
      </c>
      <c r="AD93" s="30" t="s">
        <v>1005</v>
      </c>
      <c r="AE93" s="30" t="n">
        <v>24.13</v>
      </c>
      <c r="AF93" s="30" t="s">
        <v>1005</v>
      </c>
      <c r="AG93" s="30" t="n">
        <v>0</v>
      </c>
      <c r="AH93" s="30" t="s">
        <v>1005</v>
      </c>
      <c r="AI93" s="30" t="n">
        <v>0</v>
      </c>
      <c r="AJ93" s="30" t="s">
        <v>1005</v>
      </c>
      <c r="AK93" s="30" t="n">
        <v>0</v>
      </c>
      <c r="AL93" s="30" t="s">
        <v>1005</v>
      </c>
      <c r="AM93" s="30" t="n">
        <v>0</v>
      </c>
      <c r="AN93" s="30" t="s">
        <v>1005</v>
      </c>
      <c r="AO93" s="30" t="n">
        <v>68.45</v>
      </c>
      <c r="AP93" s="30" t="s">
        <v>1005</v>
      </c>
      <c r="AQ93" s="30" t="n">
        <v>63.28</v>
      </c>
      <c r="AR93" s="30" t="s">
        <v>1005</v>
      </c>
      <c r="AS93" s="30" t="n">
        <v>83</v>
      </c>
      <c r="AT93" s="30" t="s">
        <v>1005</v>
      </c>
      <c r="AU93" s="30" t="n">
        <v>590.19</v>
      </c>
      <c r="AV93" s="30" t="n">
        <v>0.268</v>
      </c>
      <c r="AW93" s="30" t="s">
        <v>1013</v>
      </c>
      <c r="AX93" s="30" t="s">
        <v>1008</v>
      </c>
      <c r="AY93" s="30" t="n">
        <v>1</v>
      </c>
      <c r="AZ93" s="30"/>
    </row>
    <row collapsed="false" customFormat="true" customHeight="true" hidden="false" ht="33" outlineLevel="0" r="94" s="73">
      <c r="A94" s="30" t="n">
        <v>89</v>
      </c>
      <c r="B94" s="30" t="s">
        <v>179</v>
      </c>
      <c r="C94" s="30" t="s">
        <v>1009</v>
      </c>
      <c r="D94" s="30" t="s">
        <v>999</v>
      </c>
      <c r="E94" s="30" t="s">
        <v>1010</v>
      </c>
      <c r="F94" s="30" t="s">
        <v>1011</v>
      </c>
      <c r="G94" s="30" t="s">
        <v>1002</v>
      </c>
      <c r="H94" s="30" t="s">
        <v>1003</v>
      </c>
      <c r="I94" s="30" t="n">
        <v>1</v>
      </c>
      <c r="J94" s="30"/>
      <c r="K94" s="30" t="n">
        <v>76</v>
      </c>
      <c r="L94" s="30"/>
      <c r="M94" s="30" t="s">
        <v>1012</v>
      </c>
      <c r="N94" s="30" t="s">
        <v>54</v>
      </c>
      <c r="O94" s="30"/>
      <c r="P94" s="30"/>
      <c r="Q94" s="30"/>
      <c r="R94" s="30"/>
      <c r="S94" s="30"/>
      <c r="T94" s="30"/>
      <c r="U94" s="30" t="n">
        <v>601.55</v>
      </c>
      <c r="V94" s="30" t="n">
        <v>591.22</v>
      </c>
      <c r="W94" s="30" t="n">
        <v>86.93</v>
      </c>
      <c r="X94" s="30" t="s">
        <v>1005</v>
      </c>
      <c r="Y94" s="30" t="n">
        <v>70.35</v>
      </c>
      <c r="Z94" s="30" t="s">
        <v>1005</v>
      </c>
      <c r="AA94" s="30" t="n">
        <v>97.88</v>
      </c>
      <c r="AB94" s="30" t="s">
        <v>1005</v>
      </c>
      <c r="AC94" s="30" t="n">
        <v>55.41</v>
      </c>
      <c r="AD94" s="30" t="s">
        <v>1005</v>
      </c>
      <c r="AE94" s="30" t="n">
        <v>26.94</v>
      </c>
      <c r="AF94" s="30" t="s">
        <v>1005</v>
      </c>
      <c r="AG94" s="30" t="n">
        <v>0</v>
      </c>
      <c r="AH94" s="30" t="s">
        <v>1005</v>
      </c>
      <c r="AI94" s="30" t="n">
        <v>0</v>
      </c>
      <c r="AJ94" s="30" t="s">
        <v>1005</v>
      </c>
      <c r="AK94" s="30" t="n">
        <v>0</v>
      </c>
      <c r="AL94" s="30" t="s">
        <v>1005</v>
      </c>
      <c r="AM94" s="30" t="n">
        <v>0</v>
      </c>
      <c r="AN94" s="30" t="s">
        <v>1005</v>
      </c>
      <c r="AO94" s="30" t="n">
        <v>56.95</v>
      </c>
      <c r="AP94" s="30" t="s">
        <v>1005</v>
      </c>
      <c r="AQ94" s="30" t="n">
        <v>57.2</v>
      </c>
      <c r="AR94" s="30" t="s">
        <v>1005</v>
      </c>
      <c r="AS94" s="30" t="n">
        <v>61.79</v>
      </c>
      <c r="AT94" s="30" t="s">
        <v>1005</v>
      </c>
      <c r="AU94" s="30" t="n">
        <v>513.45</v>
      </c>
      <c r="AV94" s="30" t="n">
        <v>0.33992</v>
      </c>
      <c r="AW94" s="30" t="s">
        <v>1013</v>
      </c>
      <c r="AX94" s="30" t="s">
        <v>1008</v>
      </c>
      <c r="AY94" s="30" t="n">
        <v>1</v>
      </c>
      <c r="AZ94" s="30"/>
    </row>
    <row collapsed="false" customFormat="true" customHeight="true" hidden="false" ht="33" outlineLevel="0" r="95" s="73">
      <c r="A95" s="30" t="n">
        <v>90</v>
      </c>
      <c r="B95" s="30" t="s">
        <v>180</v>
      </c>
      <c r="C95" s="30" t="s">
        <v>1009</v>
      </c>
      <c r="D95" s="30" t="s">
        <v>999</v>
      </c>
      <c r="E95" s="30" t="s">
        <v>1010</v>
      </c>
      <c r="F95" s="30" t="s">
        <v>1011</v>
      </c>
      <c r="G95" s="30" t="s">
        <v>1002</v>
      </c>
      <c r="H95" s="30" t="s">
        <v>1003</v>
      </c>
      <c r="I95" s="30" t="n">
        <v>1</v>
      </c>
      <c r="J95" s="30"/>
      <c r="K95" s="30" t="n">
        <v>76</v>
      </c>
      <c r="L95" s="30"/>
      <c r="M95" s="30" t="s">
        <v>1012</v>
      </c>
      <c r="N95" s="30" t="s">
        <v>54</v>
      </c>
      <c r="O95" s="30"/>
      <c r="P95" s="30"/>
      <c r="Q95" s="30"/>
      <c r="R95" s="30"/>
      <c r="S95" s="30"/>
      <c r="T95" s="30"/>
      <c r="U95" s="30" t="n">
        <v>670.56</v>
      </c>
      <c r="V95" s="30" t="n">
        <v>922.89</v>
      </c>
      <c r="W95" s="30" t="n">
        <v>152.09</v>
      </c>
      <c r="X95" s="30" t="s">
        <v>1005</v>
      </c>
      <c r="Y95" s="30" t="n">
        <v>104.19</v>
      </c>
      <c r="Z95" s="30" t="s">
        <v>1005</v>
      </c>
      <c r="AA95" s="30" t="n">
        <v>125.84</v>
      </c>
      <c r="AB95" s="30" t="s">
        <v>1006</v>
      </c>
      <c r="AC95" s="30" t="n">
        <v>70.01</v>
      </c>
      <c r="AD95" s="30" t="s">
        <v>1005</v>
      </c>
      <c r="AE95" s="30" t="n">
        <v>32.98</v>
      </c>
      <c r="AF95" s="30" t="s">
        <v>1005</v>
      </c>
      <c r="AG95" s="30" t="n">
        <v>0</v>
      </c>
      <c r="AH95" s="30" t="s">
        <v>1005</v>
      </c>
      <c r="AI95" s="30" t="n">
        <v>0</v>
      </c>
      <c r="AJ95" s="30" t="s">
        <v>1005</v>
      </c>
      <c r="AK95" s="30" t="n">
        <v>0</v>
      </c>
      <c r="AL95" s="30" t="s">
        <v>1005</v>
      </c>
      <c r="AM95" s="30" t="n">
        <v>0</v>
      </c>
      <c r="AN95" s="30" t="s">
        <v>1005</v>
      </c>
      <c r="AO95" s="30" t="n">
        <v>84.65</v>
      </c>
      <c r="AP95" s="30" t="s">
        <v>1005</v>
      </c>
      <c r="AQ95" s="30" t="n">
        <v>80.98</v>
      </c>
      <c r="AR95" s="30" t="s">
        <v>1005</v>
      </c>
      <c r="AS95" s="30" t="n">
        <v>105.38</v>
      </c>
      <c r="AT95" s="30" t="s">
        <v>1005</v>
      </c>
      <c r="AU95" s="30" t="n">
        <v>756.12</v>
      </c>
      <c r="AV95" s="30" t="n">
        <v>0.40568</v>
      </c>
      <c r="AW95" s="30" t="s">
        <v>1013</v>
      </c>
      <c r="AX95" s="30" t="s">
        <v>1008</v>
      </c>
      <c r="AY95" s="30" t="n">
        <v>1</v>
      </c>
      <c r="AZ95" s="30"/>
    </row>
    <row collapsed="false" customFormat="true" customHeight="true" hidden="false" ht="33" outlineLevel="0" r="96" s="73">
      <c r="A96" s="30" t="n">
        <v>91</v>
      </c>
      <c r="B96" s="30" t="s">
        <v>181</v>
      </c>
      <c r="C96" s="30" t="s">
        <v>1009</v>
      </c>
      <c r="D96" s="30" t="s">
        <v>999</v>
      </c>
      <c r="E96" s="30" t="s">
        <v>1010</v>
      </c>
      <c r="F96" s="30" t="s">
        <v>1011</v>
      </c>
      <c r="G96" s="30" t="s">
        <v>1002</v>
      </c>
      <c r="H96" s="30" t="s">
        <v>1003</v>
      </c>
      <c r="I96" s="30" t="n">
        <v>1</v>
      </c>
      <c r="J96" s="30"/>
      <c r="K96" s="30" t="n">
        <v>76</v>
      </c>
      <c r="L96" s="30"/>
      <c r="M96" s="30" t="s">
        <v>1012</v>
      </c>
      <c r="N96" s="30" t="s">
        <v>54</v>
      </c>
      <c r="O96" s="30"/>
      <c r="P96" s="30"/>
      <c r="Q96" s="30"/>
      <c r="R96" s="30"/>
      <c r="S96" s="30"/>
      <c r="T96" s="30"/>
      <c r="U96" s="30" t="n">
        <v>563.65</v>
      </c>
      <c r="V96" s="30" t="n">
        <v>726.73</v>
      </c>
      <c r="W96" s="30" t="n">
        <v>150.77</v>
      </c>
      <c r="X96" s="30" t="s">
        <v>1005</v>
      </c>
      <c r="Y96" s="30" t="n">
        <v>101.21</v>
      </c>
      <c r="Z96" s="30" t="s">
        <v>1005</v>
      </c>
      <c r="AA96" s="30" t="n">
        <v>153.51</v>
      </c>
      <c r="AB96" s="30" t="s">
        <v>1005</v>
      </c>
      <c r="AC96" s="30" t="n">
        <v>40.71</v>
      </c>
      <c r="AD96" s="30" t="s">
        <v>1005</v>
      </c>
      <c r="AE96" s="30" t="n">
        <v>27.02</v>
      </c>
      <c r="AF96" s="30" t="s">
        <v>1005</v>
      </c>
      <c r="AG96" s="30" t="n">
        <v>0</v>
      </c>
      <c r="AH96" s="30" t="s">
        <v>1005</v>
      </c>
      <c r="AI96" s="30" t="n">
        <v>0</v>
      </c>
      <c r="AJ96" s="30" t="s">
        <v>1005</v>
      </c>
      <c r="AK96" s="30" t="n">
        <v>0</v>
      </c>
      <c r="AL96" s="30" t="s">
        <v>1005</v>
      </c>
      <c r="AM96" s="30" t="n">
        <v>0</v>
      </c>
      <c r="AN96" s="30" t="s">
        <v>1005</v>
      </c>
      <c r="AO96" s="30" t="n">
        <v>67.88</v>
      </c>
      <c r="AP96" s="30" t="s">
        <v>1005</v>
      </c>
      <c r="AQ96" s="30" t="n">
        <v>59.9</v>
      </c>
      <c r="AR96" s="30" t="s">
        <v>1005</v>
      </c>
      <c r="AS96" s="30" t="n">
        <v>82.05</v>
      </c>
      <c r="AT96" s="30" t="s">
        <v>1005</v>
      </c>
      <c r="AU96" s="30" t="n">
        <v>683.05</v>
      </c>
      <c r="AV96" s="30" t="n">
        <v>0.342</v>
      </c>
      <c r="AW96" s="30" t="s">
        <v>1013</v>
      </c>
      <c r="AX96" s="30" t="s">
        <v>1008</v>
      </c>
      <c r="AY96" s="30" t="n">
        <v>1</v>
      </c>
      <c r="AZ96" s="30"/>
    </row>
    <row collapsed="false" customFormat="true" customHeight="true" hidden="false" ht="33" outlineLevel="0" r="97" s="73">
      <c r="A97" s="30" t="n">
        <v>92</v>
      </c>
      <c r="B97" s="30" t="s">
        <v>182</v>
      </c>
      <c r="C97" s="30" t="s">
        <v>1009</v>
      </c>
      <c r="D97" s="30" t="s">
        <v>999</v>
      </c>
      <c r="E97" s="30" t="s">
        <v>1010</v>
      </c>
      <c r="F97" s="30" t="s">
        <v>1011</v>
      </c>
      <c r="G97" s="30" t="s">
        <v>1002</v>
      </c>
      <c r="H97" s="30" t="s">
        <v>1003</v>
      </c>
      <c r="I97" s="30" t="n">
        <v>1</v>
      </c>
      <c r="J97" s="30"/>
      <c r="K97" s="30" t="n">
        <v>76</v>
      </c>
      <c r="L97" s="30"/>
      <c r="M97" s="30" t="s">
        <v>1012</v>
      </c>
      <c r="N97" s="30" t="s">
        <v>54</v>
      </c>
      <c r="O97" s="30"/>
      <c r="P97" s="30"/>
      <c r="Q97" s="30"/>
      <c r="R97" s="30"/>
      <c r="S97" s="30"/>
      <c r="T97" s="30"/>
      <c r="U97" s="30" t="n">
        <v>558.52</v>
      </c>
      <c r="V97" s="30" t="n">
        <v>607.68</v>
      </c>
      <c r="W97" s="30" t="n">
        <v>136.33</v>
      </c>
      <c r="X97" s="30" t="s">
        <v>1005</v>
      </c>
      <c r="Y97" s="30" t="n">
        <v>92.58</v>
      </c>
      <c r="Z97" s="30" t="s">
        <v>1005</v>
      </c>
      <c r="AA97" s="30" t="n">
        <v>113.64</v>
      </c>
      <c r="AB97" s="30" t="s">
        <v>1005</v>
      </c>
      <c r="AC97" s="30" t="n">
        <v>38.36</v>
      </c>
      <c r="AD97" s="30" t="s">
        <v>1005</v>
      </c>
      <c r="AE97" s="30" t="n">
        <v>21.87</v>
      </c>
      <c r="AF97" s="30" t="s">
        <v>1005</v>
      </c>
      <c r="AG97" s="30" t="n">
        <v>0</v>
      </c>
      <c r="AH97" s="30" t="s">
        <v>1005</v>
      </c>
      <c r="AI97" s="30" t="n">
        <v>0</v>
      </c>
      <c r="AJ97" s="30" t="s">
        <v>1005</v>
      </c>
      <c r="AK97" s="30" t="n">
        <v>0</v>
      </c>
      <c r="AL97" s="30" t="s">
        <v>1005</v>
      </c>
      <c r="AM97" s="30" t="n">
        <v>0</v>
      </c>
      <c r="AN97" s="30" t="s">
        <v>1005</v>
      </c>
      <c r="AO97" s="30" t="n">
        <v>75.96</v>
      </c>
      <c r="AP97" s="30" t="s">
        <v>1006</v>
      </c>
      <c r="AQ97" s="30" t="n">
        <v>38.7</v>
      </c>
      <c r="AR97" s="30" t="s">
        <v>1005</v>
      </c>
      <c r="AS97" s="30" t="n">
        <v>74.24</v>
      </c>
      <c r="AT97" s="30" t="s">
        <v>1005</v>
      </c>
      <c r="AU97" s="30" t="n">
        <v>591.68</v>
      </c>
      <c r="AV97" s="30" t="n">
        <v>0.288</v>
      </c>
      <c r="AW97" s="30" t="s">
        <v>1013</v>
      </c>
      <c r="AX97" s="30" t="s">
        <v>1008</v>
      </c>
      <c r="AY97" s="30" t="n">
        <v>1</v>
      </c>
      <c r="AZ97" s="30"/>
    </row>
    <row collapsed="false" customFormat="true" customHeight="true" hidden="false" ht="33" outlineLevel="0" r="98" s="73">
      <c r="A98" s="30" t="n">
        <v>93</v>
      </c>
      <c r="B98" s="30" t="s">
        <v>184</v>
      </c>
      <c r="C98" s="30" t="s">
        <v>1009</v>
      </c>
      <c r="D98" s="30" t="s">
        <v>999</v>
      </c>
      <c r="E98" s="30" t="s">
        <v>1010</v>
      </c>
      <c r="F98" s="30" t="s">
        <v>1011</v>
      </c>
      <c r="G98" s="30" t="s">
        <v>1002</v>
      </c>
      <c r="H98" s="30" t="s">
        <v>1003</v>
      </c>
      <c r="I98" s="30" t="n">
        <v>1</v>
      </c>
      <c r="J98" s="30"/>
      <c r="K98" s="30" t="n">
        <v>57</v>
      </c>
      <c r="L98" s="30"/>
      <c r="M98" s="30" t="s">
        <v>1012</v>
      </c>
      <c r="N98" s="30" t="s">
        <v>54</v>
      </c>
      <c r="O98" s="30"/>
      <c r="P98" s="30"/>
      <c r="Q98" s="30"/>
      <c r="R98" s="30"/>
      <c r="S98" s="30"/>
      <c r="T98" s="30"/>
      <c r="U98" s="30" t="n">
        <v>234.59</v>
      </c>
      <c r="V98" s="30" t="n">
        <v>332.73</v>
      </c>
      <c r="W98" s="30" t="n">
        <v>78.72</v>
      </c>
      <c r="X98" s="30" t="s">
        <v>1005</v>
      </c>
      <c r="Y98" s="30" t="n">
        <v>48.03</v>
      </c>
      <c r="Z98" s="30" t="s">
        <v>1005</v>
      </c>
      <c r="AA98" s="30" t="n">
        <v>76.43</v>
      </c>
      <c r="AB98" s="30" t="s">
        <v>1005</v>
      </c>
      <c r="AC98" s="30" t="n">
        <v>34.68</v>
      </c>
      <c r="AD98" s="30" t="s">
        <v>1006</v>
      </c>
      <c r="AE98" s="30" t="n">
        <v>6.54</v>
      </c>
      <c r="AF98" s="30" t="s">
        <v>1005</v>
      </c>
      <c r="AG98" s="30" t="n">
        <v>0</v>
      </c>
      <c r="AH98" s="30" t="s">
        <v>1005</v>
      </c>
      <c r="AI98" s="30" t="n">
        <v>0</v>
      </c>
      <c r="AJ98" s="30" t="s">
        <v>1005</v>
      </c>
      <c r="AK98" s="30" t="n">
        <v>0</v>
      </c>
      <c r="AL98" s="30" t="s">
        <v>1005</v>
      </c>
      <c r="AM98" s="30" t="n">
        <v>0</v>
      </c>
      <c r="AN98" s="30" t="s">
        <v>1005</v>
      </c>
      <c r="AO98" s="30" t="n">
        <v>25.64</v>
      </c>
      <c r="AP98" s="30" t="s">
        <v>1005</v>
      </c>
      <c r="AQ98" s="30" t="n">
        <v>37.62</v>
      </c>
      <c r="AR98" s="30" t="s">
        <v>1005</v>
      </c>
      <c r="AS98" s="30" t="n">
        <v>25.64</v>
      </c>
      <c r="AT98" s="30" t="s">
        <v>1005</v>
      </c>
      <c r="AU98" s="30" t="n">
        <v>333.3</v>
      </c>
      <c r="AV98" s="30" t="n">
        <v>0.12246</v>
      </c>
      <c r="AW98" s="30" t="s">
        <v>1013</v>
      </c>
      <c r="AX98" s="30" t="s">
        <v>1008</v>
      </c>
      <c r="AY98" s="30" t="n">
        <v>1</v>
      </c>
      <c r="AZ98" s="30"/>
    </row>
    <row collapsed="false" customFormat="true" customHeight="true" hidden="false" ht="33" outlineLevel="0" r="99" s="73">
      <c r="A99" s="30" t="n">
        <v>94</v>
      </c>
      <c r="B99" s="30" t="s">
        <v>185</v>
      </c>
      <c r="C99" s="30" t="s">
        <v>1009</v>
      </c>
      <c r="D99" s="30" t="s">
        <v>999</v>
      </c>
      <c r="E99" s="30" t="s">
        <v>1010</v>
      </c>
      <c r="F99" s="30" t="s">
        <v>1011</v>
      </c>
      <c r="G99" s="30" t="s">
        <v>1002</v>
      </c>
      <c r="H99" s="30" t="s">
        <v>1003</v>
      </c>
      <c r="I99" s="30" t="n">
        <v>1</v>
      </c>
      <c r="J99" s="30"/>
      <c r="K99" s="30" t="n">
        <v>57</v>
      </c>
      <c r="L99" s="30"/>
      <c r="M99" s="30" t="s">
        <v>1012</v>
      </c>
      <c r="N99" s="30" t="s">
        <v>54</v>
      </c>
      <c r="O99" s="30"/>
      <c r="P99" s="30"/>
      <c r="Q99" s="30"/>
      <c r="R99" s="30"/>
      <c r="S99" s="30"/>
      <c r="T99" s="30"/>
      <c r="U99" s="30" t="n">
        <v>313.83</v>
      </c>
      <c r="V99" s="30" t="n">
        <v>364.62</v>
      </c>
      <c r="W99" s="30" t="n">
        <v>47.96</v>
      </c>
      <c r="X99" s="30" t="s">
        <v>1006</v>
      </c>
      <c r="Y99" s="30" t="n">
        <v>48.32</v>
      </c>
      <c r="Z99" s="30" t="s">
        <v>1005</v>
      </c>
      <c r="AA99" s="30" t="n">
        <v>66.91</v>
      </c>
      <c r="AB99" s="30" t="s">
        <v>1005</v>
      </c>
      <c r="AC99" s="30" t="n">
        <v>28.09</v>
      </c>
      <c r="AD99" s="30" t="s">
        <v>1005</v>
      </c>
      <c r="AE99" s="30" t="n">
        <v>16.86</v>
      </c>
      <c r="AF99" s="30" t="s">
        <v>1005</v>
      </c>
      <c r="AG99" s="30" t="n">
        <v>0</v>
      </c>
      <c r="AH99" s="30" t="s">
        <v>1005</v>
      </c>
      <c r="AI99" s="30" t="n">
        <v>0</v>
      </c>
      <c r="AJ99" s="30" t="s">
        <v>1005</v>
      </c>
      <c r="AK99" s="30" t="n">
        <v>0</v>
      </c>
      <c r="AL99" s="30" t="s">
        <v>1005</v>
      </c>
      <c r="AM99" s="30" t="n">
        <v>0</v>
      </c>
      <c r="AN99" s="30" t="s">
        <v>1005</v>
      </c>
      <c r="AO99" s="30" t="n">
        <v>39.79</v>
      </c>
      <c r="AP99" s="30" t="s">
        <v>1005</v>
      </c>
      <c r="AQ99" s="30" t="n">
        <v>34.09</v>
      </c>
      <c r="AR99" s="30" t="s">
        <v>1005</v>
      </c>
      <c r="AS99" s="30" t="n">
        <v>43.86</v>
      </c>
      <c r="AT99" s="30" t="s">
        <v>1005</v>
      </c>
      <c r="AU99" s="30" t="n">
        <v>325.88</v>
      </c>
      <c r="AV99" s="30" t="n">
        <v>0.1755</v>
      </c>
      <c r="AW99" s="30" t="s">
        <v>1013</v>
      </c>
      <c r="AX99" s="30" t="s">
        <v>1008</v>
      </c>
      <c r="AY99" s="30" t="n">
        <v>1</v>
      </c>
      <c r="AZ99" s="30"/>
    </row>
    <row collapsed="false" customFormat="true" customHeight="true" hidden="false" ht="33" outlineLevel="0" r="100" s="73">
      <c r="A100" s="30" t="n">
        <v>95</v>
      </c>
      <c r="B100" s="30" t="s">
        <v>187</v>
      </c>
      <c r="C100" s="30" t="s">
        <v>1009</v>
      </c>
      <c r="D100" s="30" t="s">
        <v>999</v>
      </c>
      <c r="E100" s="30" t="s">
        <v>1010</v>
      </c>
      <c r="F100" s="30" t="s">
        <v>1011</v>
      </c>
      <c r="G100" s="30" t="s">
        <v>1002</v>
      </c>
      <c r="H100" s="30" t="s">
        <v>1003</v>
      </c>
      <c r="I100" s="30" t="n">
        <v>1</v>
      </c>
      <c r="J100" s="30"/>
      <c r="K100" s="30" t="n">
        <v>57</v>
      </c>
      <c r="L100" s="30"/>
      <c r="M100" s="30" t="s">
        <v>1012</v>
      </c>
      <c r="N100" s="30" t="s">
        <v>54</v>
      </c>
      <c r="O100" s="30"/>
      <c r="P100" s="30"/>
      <c r="Q100" s="30"/>
      <c r="R100" s="30"/>
      <c r="S100" s="30"/>
      <c r="T100" s="30"/>
      <c r="U100" s="30" t="n">
        <v>259.55</v>
      </c>
      <c r="V100" s="30" t="n">
        <v>389.85</v>
      </c>
      <c r="W100" s="30" t="n">
        <v>73.18</v>
      </c>
      <c r="X100" s="30" t="s">
        <v>1005</v>
      </c>
      <c r="Y100" s="30" t="n">
        <v>50.96</v>
      </c>
      <c r="Z100" s="30" t="s">
        <v>1005</v>
      </c>
      <c r="AA100" s="30" t="n">
        <v>81.67</v>
      </c>
      <c r="AB100" s="30" t="s">
        <v>1005</v>
      </c>
      <c r="AC100" s="30" t="n">
        <v>14.46</v>
      </c>
      <c r="AD100" s="30" t="s">
        <v>1005</v>
      </c>
      <c r="AE100" s="30" t="n">
        <v>12.27</v>
      </c>
      <c r="AF100" s="30" t="s">
        <v>1005</v>
      </c>
      <c r="AG100" s="30" t="n">
        <v>0</v>
      </c>
      <c r="AH100" s="30" t="s">
        <v>1005</v>
      </c>
      <c r="AI100" s="30" t="n">
        <v>0</v>
      </c>
      <c r="AJ100" s="30" t="s">
        <v>1005</v>
      </c>
      <c r="AK100" s="30" t="n">
        <v>0</v>
      </c>
      <c r="AL100" s="30" t="s">
        <v>1005</v>
      </c>
      <c r="AM100" s="30" t="n">
        <v>0</v>
      </c>
      <c r="AN100" s="30" t="s">
        <v>1005</v>
      </c>
      <c r="AO100" s="30" t="n">
        <v>24.59</v>
      </c>
      <c r="AP100" s="30" t="s">
        <v>1005</v>
      </c>
      <c r="AQ100" s="30" t="n">
        <v>26</v>
      </c>
      <c r="AR100" s="30" t="s">
        <v>1005</v>
      </c>
      <c r="AS100" s="30" t="n">
        <v>31.5</v>
      </c>
      <c r="AT100" s="30" t="s">
        <v>1005</v>
      </c>
      <c r="AU100" s="30" t="n">
        <v>314.63</v>
      </c>
      <c r="AV100" s="30" t="n">
        <v>0.15</v>
      </c>
      <c r="AW100" s="30" t="s">
        <v>1013</v>
      </c>
      <c r="AX100" s="30" t="s">
        <v>1008</v>
      </c>
      <c r="AY100" s="30" t="n">
        <v>1</v>
      </c>
      <c r="AZ100" s="30"/>
    </row>
    <row collapsed="false" customFormat="true" customHeight="true" hidden="false" ht="33" outlineLevel="0" r="101" s="73">
      <c r="A101" s="30" t="n">
        <v>96</v>
      </c>
      <c r="B101" s="30" t="s">
        <v>189</v>
      </c>
      <c r="C101" s="30" t="s">
        <v>1009</v>
      </c>
      <c r="D101" s="30" t="s">
        <v>999</v>
      </c>
      <c r="E101" s="30" t="s">
        <v>1010</v>
      </c>
      <c r="F101" s="30" t="s">
        <v>1011</v>
      </c>
      <c r="G101" s="30" t="s">
        <v>1002</v>
      </c>
      <c r="H101" s="30" t="s">
        <v>1003</v>
      </c>
      <c r="I101" s="30" t="n">
        <v>0</v>
      </c>
      <c r="J101" s="30"/>
      <c r="K101" s="30" t="n">
        <v>89</v>
      </c>
      <c r="L101" s="30"/>
      <c r="M101" s="30" t="s">
        <v>1004</v>
      </c>
      <c r="N101" s="30" t="s">
        <v>54</v>
      </c>
      <c r="O101" s="30"/>
      <c r="P101" s="30"/>
      <c r="Q101" s="30"/>
      <c r="R101" s="30"/>
      <c r="S101" s="30"/>
      <c r="T101" s="30"/>
      <c r="U101" s="30" t="n">
        <v>107.11</v>
      </c>
      <c r="V101" s="30" t="n">
        <v>107.11</v>
      </c>
      <c r="W101" s="30" t="n">
        <v>15.14</v>
      </c>
      <c r="X101" s="30" t="s">
        <v>1006</v>
      </c>
      <c r="Y101" s="30" t="n">
        <v>15.14</v>
      </c>
      <c r="Z101" s="30" t="s">
        <v>1006</v>
      </c>
      <c r="AA101" s="30" t="n">
        <v>15.14</v>
      </c>
      <c r="AB101" s="30" t="s">
        <v>1006</v>
      </c>
      <c r="AC101" s="30" t="n">
        <v>15.14</v>
      </c>
      <c r="AD101" s="30" t="s">
        <v>1006</v>
      </c>
      <c r="AE101" s="30" t="n">
        <v>4.4</v>
      </c>
      <c r="AF101" s="30" t="s">
        <v>1006</v>
      </c>
      <c r="AG101" s="30" t="n">
        <v>0</v>
      </c>
      <c r="AH101" s="30" t="s">
        <v>1006</v>
      </c>
      <c r="AI101" s="30" t="n">
        <v>0</v>
      </c>
      <c r="AJ101" s="30" t="s">
        <v>1006</v>
      </c>
      <c r="AK101" s="30" t="n">
        <v>0</v>
      </c>
      <c r="AL101" s="30" t="s">
        <v>1006</v>
      </c>
      <c r="AM101" s="30" t="n">
        <v>0</v>
      </c>
      <c r="AN101" s="30" t="s">
        <v>1006</v>
      </c>
      <c r="AO101" s="30" t="n">
        <v>14.54</v>
      </c>
      <c r="AP101" s="30" t="s">
        <v>1006</v>
      </c>
      <c r="AQ101" s="30" t="n">
        <v>14.54</v>
      </c>
      <c r="AR101" s="30" t="s">
        <v>1006</v>
      </c>
      <c r="AS101" s="30" t="n">
        <v>14.54</v>
      </c>
      <c r="AT101" s="30" t="s">
        <v>1006</v>
      </c>
      <c r="AU101" s="30" t="n">
        <v>108.58</v>
      </c>
      <c r="AV101" s="30" t="n">
        <v>0.072</v>
      </c>
      <c r="AW101" s="30" t="s">
        <v>1007</v>
      </c>
      <c r="AX101" s="30" t="s">
        <v>1008</v>
      </c>
      <c r="AY101" s="30" t="n">
        <v>0</v>
      </c>
      <c r="AZ101" s="30"/>
    </row>
    <row collapsed="false" customFormat="true" customHeight="true" hidden="false" ht="33" outlineLevel="0" r="102" s="73">
      <c r="A102" s="30" t="n">
        <v>97</v>
      </c>
      <c r="B102" s="30" t="s">
        <v>191</v>
      </c>
      <c r="C102" s="30" t="s">
        <v>1009</v>
      </c>
      <c r="D102" s="30" t="s">
        <v>999</v>
      </c>
      <c r="E102" s="30" t="s">
        <v>1000</v>
      </c>
      <c r="F102" s="30" t="s">
        <v>1001</v>
      </c>
      <c r="G102" s="30" t="s">
        <v>1002</v>
      </c>
      <c r="H102" s="30" t="s">
        <v>1003</v>
      </c>
      <c r="I102" s="30" t="n">
        <v>1</v>
      </c>
      <c r="J102" s="30"/>
      <c r="K102" s="30" t="n">
        <v>65</v>
      </c>
      <c r="L102" s="30" t="n">
        <v>5.5</v>
      </c>
      <c r="M102" s="30" t="s">
        <v>1004</v>
      </c>
      <c r="N102" s="30" t="s">
        <v>54</v>
      </c>
      <c r="O102" s="30"/>
      <c r="P102" s="30"/>
      <c r="Q102" s="30"/>
      <c r="R102" s="30"/>
      <c r="S102" s="30"/>
      <c r="T102" s="30"/>
      <c r="U102" s="30" t="n">
        <v>146.72</v>
      </c>
      <c r="V102" s="30" t="n">
        <v>138.08</v>
      </c>
      <c r="W102" s="30" t="n">
        <v>34.62</v>
      </c>
      <c r="X102" s="30" t="s">
        <v>1005</v>
      </c>
      <c r="Y102" s="30" t="n">
        <v>20.85</v>
      </c>
      <c r="Z102" s="30" t="s">
        <v>1005</v>
      </c>
      <c r="AA102" s="30" t="n">
        <v>28.21</v>
      </c>
      <c r="AB102" s="30" t="s">
        <v>1005</v>
      </c>
      <c r="AC102" s="30" t="n">
        <v>9.37</v>
      </c>
      <c r="AD102" s="30" t="s">
        <v>1005</v>
      </c>
      <c r="AE102" s="30" t="n">
        <v>4.26</v>
      </c>
      <c r="AF102" s="30" t="s">
        <v>1005</v>
      </c>
      <c r="AG102" s="30" t="n">
        <v>0</v>
      </c>
      <c r="AH102" s="30" t="s">
        <v>1006</v>
      </c>
      <c r="AI102" s="30" t="n">
        <v>0</v>
      </c>
      <c r="AJ102" s="30" t="s">
        <v>1006</v>
      </c>
      <c r="AK102" s="30" t="n">
        <v>0</v>
      </c>
      <c r="AL102" s="30" t="s">
        <v>1006</v>
      </c>
      <c r="AM102" s="30" t="n">
        <v>0</v>
      </c>
      <c r="AN102" s="30"/>
      <c r="AO102" s="30" t="n">
        <v>10.59</v>
      </c>
      <c r="AP102" s="30" t="s">
        <v>1005</v>
      </c>
      <c r="AQ102" s="30" t="n">
        <v>10.47</v>
      </c>
      <c r="AR102" s="30" t="s">
        <v>1005</v>
      </c>
      <c r="AS102" s="30" t="n">
        <v>15.58</v>
      </c>
      <c r="AT102" s="30" t="s">
        <v>1005</v>
      </c>
      <c r="AU102" s="30" t="n">
        <v>133.95</v>
      </c>
      <c r="AV102" s="30" t="n">
        <v>0.09334</v>
      </c>
      <c r="AW102" s="30" t="s">
        <v>1007</v>
      </c>
      <c r="AX102" s="30" t="s">
        <v>1008</v>
      </c>
      <c r="AY102" s="30" t="n">
        <v>0</v>
      </c>
      <c r="AZ102" s="30"/>
    </row>
    <row collapsed="false" customFormat="true" customHeight="true" hidden="false" ht="33" outlineLevel="0" r="103" s="73">
      <c r="A103" s="30" t="n">
        <v>99</v>
      </c>
      <c r="B103" s="30" t="s">
        <v>193</v>
      </c>
      <c r="C103" s="30" t="s">
        <v>1009</v>
      </c>
      <c r="D103" s="30" t="s">
        <v>999</v>
      </c>
      <c r="E103" s="30" t="s">
        <v>1000</v>
      </c>
      <c r="F103" s="30" t="s">
        <v>1001</v>
      </c>
      <c r="G103" s="30" t="s">
        <v>1002</v>
      </c>
      <c r="H103" s="30" t="s">
        <v>1003</v>
      </c>
      <c r="I103" s="30" t="n">
        <v>1</v>
      </c>
      <c r="J103" s="30"/>
      <c r="K103" s="30" t="n">
        <v>50</v>
      </c>
      <c r="L103" s="30" t="n">
        <v>5.5</v>
      </c>
      <c r="M103" s="30" t="s">
        <v>1004</v>
      </c>
      <c r="N103" s="30" t="s">
        <v>54</v>
      </c>
      <c r="O103" s="30"/>
      <c r="P103" s="30"/>
      <c r="Q103" s="30"/>
      <c r="R103" s="30"/>
      <c r="S103" s="30"/>
      <c r="T103" s="30"/>
      <c r="U103" s="30" t="n">
        <v>181.43</v>
      </c>
      <c r="V103" s="30" t="n">
        <v>176.05</v>
      </c>
      <c r="W103" s="30" t="n">
        <v>41.63</v>
      </c>
      <c r="X103" s="30" t="s">
        <v>1005</v>
      </c>
      <c r="Y103" s="30" t="n">
        <v>25.33</v>
      </c>
      <c r="Z103" s="30" t="s">
        <v>1005</v>
      </c>
      <c r="AA103" s="30" t="n">
        <v>38.65</v>
      </c>
      <c r="AB103" s="30" t="s">
        <v>1005</v>
      </c>
      <c r="AC103" s="30" t="n">
        <v>13.4</v>
      </c>
      <c r="AD103" s="30" t="s">
        <v>1005</v>
      </c>
      <c r="AE103" s="30" t="n">
        <v>5.22</v>
      </c>
      <c r="AF103" s="30" t="s">
        <v>1005</v>
      </c>
      <c r="AG103" s="30" t="n">
        <v>0</v>
      </c>
      <c r="AH103" s="30" t="s">
        <v>1006</v>
      </c>
      <c r="AI103" s="30" t="n">
        <v>0</v>
      </c>
      <c r="AJ103" s="30" t="s">
        <v>1006</v>
      </c>
      <c r="AK103" s="30" t="n">
        <v>0</v>
      </c>
      <c r="AL103" s="30" t="s">
        <v>1006</v>
      </c>
      <c r="AM103" s="30" t="n">
        <v>0</v>
      </c>
      <c r="AN103" s="30"/>
      <c r="AO103" s="30" t="n">
        <v>17.17</v>
      </c>
      <c r="AP103" s="30" t="s">
        <v>1005</v>
      </c>
      <c r="AQ103" s="30" t="n">
        <v>16.38</v>
      </c>
      <c r="AR103" s="30" t="s">
        <v>1005</v>
      </c>
      <c r="AS103" s="30" t="n">
        <v>24.93</v>
      </c>
      <c r="AT103" s="30" t="s">
        <v>1005</v>
      </c>
      <c r="AU103" s="30" t="n">
        <v>182.71</v>
      </c>
      <c r="AV103" s="30" t="n">
        <v>0.06725</v>
      </c>
      <c r="AW103" s="30" t="s">
        <v>1007</v>
      </c>
      <c r="AX103" s="30" t="s">
        <v>1008</v>
      </c>
      <c r="AY103" s="30" t="n">
        <v>0</v>
      </c>
      <c r="AZ103" s="30"/>
    </row>
    <row collapsed="false" customFormat="true" customHeight="true" hidden="false" ht="33" outlineLevel="0" r="104" s="73">
      <c r="A104" s="30" t="n">
        <v>100</v>
      </c>
      <c r="B104" s="30" t="s">
        <v>195</v>
      </c>
      <c r="C104" s="30" t="s">
        <v>1009</v>
      </c>
      <c r="D104" s="30" t="s">
        <v>999</v>
      </c>
      <c r="E104" s="30" t="s">
        <v>1000</v>
      </c>
      <c r="F104" s="30" t="s">
        <v>1001</v>
      </c>
      <c r="G104" s="30" t="s">
        <v>1002</v>
      </c>
      <c r="H104" s="30" t="s">
        <v>1003</v>
      </c>
      <c r="I104" s="30" t="n">
        <v>1</v>
      </c>
      <c r="J104" s="30"/>
      <c r="K104" s="30" t="n">
        <v>50</v>
      </c>
      <c r="L104" s="30" t="n">
        <v>5.5</v>
      </c>
      <c r="M104" s="30" t="s">
        <v>1004</v>
      </c>
      <c r="N104" s="30" t="s">
        <v>54</v>
      </c>
      <c r="O104" s="30"/>
      <c r="P104" s="30"/>
      <c r="Q104" s="30"/>
      <c r="R104" s="30"/>
      <c r="S104" s="30"/>
      <c r="T104" s="30"/>
      <c r="U104" s="30" t="n">
        <v>138.02</v>
      </c>
      <c r="V104" s="30" t="n">
        <v>142.3</v>
      </c>
      <c r="W104" s="30" t="n">
        <v>29.26</v>
      </c>
      <c r="X104" s="30" t="s">
        <v>1005</v>
      </c>
      <c r="Y104" s="30" t="n">
        <v>18.59</v>
      </c>
      <c r="Z104" s="30" t="s">
        <v>1005</v>
      </c>
      <c r="AA104" s="30" t="n">
        <v>29.04</v>
      </c>
      <c r="AB104" s="30" t="s">
        <v>1005</v>
      </c>
      <c r="AC104" s="30" t="n">
        <v>8.99</v>
      </c>
      <c r="AD104" s="30" t="s">
        <v>1005</v>
      </c>
      <c r="AE104" s="30" t="n">
        <v>3.9</v>
      </c>
      <c r="AF104" s="30" t="s">
        <v>1005</v>
      </c>
      <c r="AG104" s="30" t="n">
        <v>0</v>
      </c>
      <c r="AH104" s="30" t="s">
        <v>1006</v>
      </c>
      <c r="AI104" s="30" t="n">
        <v>0</v>
      </c>
      <c r="AJ104" s="30" t="s">
        <v>1006</v>
      </c>
      <c r="AK104" s="30" t="n">
        <v>0</v>
      </c>
      <c r="AL104" s="30" t="s">
        <v>1006</v>
      </c>
      <c r="AM104" s="30" t="n">
        <v>0</v>
      </c>
      <c r="AN104" s="30"/>
      <c r="AO104" s="30" t="n">
        <v>11.13</v>
      </c>
      <c r="AP104" s="30" t="s">
        <v>1005</v>
      </c>
      <c r="AQ104" s="30" t="n">
        <v>10.92</v>
      </c>
      <c r="AR104" s="30" t="s">
        <v>1005</v>
      </c>
      <c r="AS104" s="30" t="n">
        <v>14.1</v>
      </c>
      <c r="AT104" s="30" t="s">
        <v>1005</v>
      </c>
      <c r="AU104" s="30" t="n">
        <v>125.93</v>
      </c>
      <c r="AV104" s="30" t="n">
        <v>0.06925</v>
      </c>
      <c r="AW104" s="30" t="s">
        <v>1007</v>
      </c>
      <c r="AX104" s="30" t="s">
        <v>1008</v>
      </c>
      <c r="AY104" s="30" t="n">
        <v>0</v>
      </c>
      <c r="AZ104" s="30"/>
    </row>
    <row collapsed="false" customFormat="true" customHeight="true" hidden="false" ht="33" outlineLevel="0" r="105" s="73">
      <c r="A105" s="30" t="n">
        <v>101</v>
      </c>
      <c r="B105" s="30" t="s">
        <v>196</v>
      </c>
      <c r="C105" s="30" t="s">
        <v>1009</v>
      </c>
      <c r="D105" s="30" t="s">
        <v>999</v>
      </c>
      <c r="E105" s="30" t="s">
        <v>1000</v>
      </c>
      <c r="F105" s="30" t="s">
        <v>1001</v>
      </c>
      <c r="G105" s="30" t="s">
        <v>1002</v>
      </c>
      <c r="H105" s="30" t="s">
        <v>1003</v>
      </c>
      <c r="I105" s="30" t="n">
        <v>1</v>
      </c>
      <c r="J105" s="30"/>
      <c r="K105" s="30" t="n">
        <v>50</v>
      </c>
      <c r="L105" s="30" t="n">
        <v>5.5</v>
      </c>
      <c r="M105" s="30" t="s">
        <v>1004</v>
      </c>
      <c r="N105" s="30" t="s">
        <v>53</v>
      </c>
      <c r="O105" s="30"/>
      <c r="P105" s="30"/>
      <c r="Q105" s="30"/>
      <c r="R105" s="30"/>
      <c r="S105" s="30"/>
      <c r="T105" s="30"/>
      <c r="U105" s="30" t="n">
        <v>179</v>
      </c>
      <c r="V105" s="30" t="n">
        <v>186.56</v>
      </c>
      <c r="W105" s="30" t="n">
        <v>20.2</v>
      </c>
      <c r="X105" s="30" t="s">
        <v>1005</v>
      </c>
      <c r="Y105" s="30" t="n">
        <v>23.11</v>
      </c>
      <c r="Z105" s="30" t="s">
        <v>1005</v>
      </c>
      <c r="AA105" s="30" t="n">
        <v>32.46</v>
      </c>
      <c r="AB105" s="30" t="s">
        <v>1005</v>
      </c>
      <c r="AC105" s="30" t="n">
        <v>20.2</v>
      </c>
      <c r="AD105" s="30" t="s">
        <v>1005</v>
      </c>
      <c r="AE105" s="30" t="n">
        <v>5.86</v>
      </c>
      <c r="AF105" s="30" t="s">
        <v>1005</v>
      </c>
      <c r="AG105" s="30" t="n">
        <v>0</v>
      </c>
      <c r="AH105" s="30" t="s">
        <v>1006</v>
      </c>
      <c r="AI105" s="30" t="n">
        <v>0</v>
      </c>
      <c r="AJ105" s="30" t="s">
        <v>1006</v>
      </c>
      <c r="AK105" s="30" t="n">
        <v>0</v>
      </c>
      <c r="AL105" s="30" t="s">
        <v>1006</v>
      </c>
      <c r="AM105" s="30" t="n">
        <v>0</v>
      </c>
      <c r="AN105" s="30"/>
      <c r="AO105" s="30" t="n">
        <v>14.42</v>
      </c>
      <c r="AP105" s="30" t="s">
        <v>1005</v>
      </c>
      <c r="AQ105" s="30" t="n">
        <v>14.53</v>
      </c>
      <c r="AR105" s="30" t="s">
        <v>1005</v>
      </c>
      <c r="AS105" s="30" t="n">
        <v>19.96</v>
      </c>
      <c r="AT105" s="30" t="s">
        <v>1005</v>
      </c>
      <c r="AU105" s="30" t="n">
        <v>150.74</v>
      </c>
      <c r="AV105" s="30" t="n">
        <v>0.0923</v>
      </c>
      <c r="AW105" s="30" t="s">
        <v>1007</v>
      </c>
      <c r="AX105" s="30" t="s">
        <v>1008</v>
      </c>
      <c r="AY105" s="30" t="n">
        <v>0</v>
      </c>
      <c r="AZ105" s="30"/>
    </row>
    <row collapsed="false" customFormat="true" customHeight="true" hidden="false" ht="33" outlineLevel="0" r="106" s="73">
      <c r="A106" s="30" t="n">
        <v>102</v>
      </c>
      <c r="B106" s="30" t="s">
        <v>197</v>
      </c>
      <c r="C106" s="30" t="s">
        <v>1009</v>
      </c>
      <c r="D106" s="30" t="s">
        <v>999</v>
      </c>
      <c r="E106" s="30" t="s">
        <v>1000</v>
      </c>
      <c r="F106" s="30" t="s">
        <v>1001</v>
      </c>
      <c r="G106" s="30" t="s">
        <v>1002</v>
      </c>
      <c r="H106" s="30" t="s">
        <v>1003</v>
      </c>
      <c r="I106" s="30" t="n">
        <v>1</v>
      </c>
      <c r="J106" s="30"/>
      <c r="K106" s="30" t="n">
        <v>65</v>
      </c>
      <c r="L106" s="30" t="n">
        <v>5.5</v>
      </c>
      <c r="M106" s="30" t="s">
        <v>1004</v>
      </c>
      <c r="N106" s="30" t="s">
        <v>54</v>
      </c>
      <c r="O106" s="30"/>
      <c r="P106" s="30"/>
      <c r="Q106" s="30"/>
      <c r="R106" s="30"/>
      <c r="S106" s="30"/>
      <c r="T106" s="30"/>
      <c r="U106" s="30" t="n">
        <v>196.12</v>
      </c>
      <c r="V106" s="30" t="n">
        <v>211.32</v>
      </c>
      <c r="W106" s="30" t="n">
        <v>40.12</v>
      </c>
      <c r="X106" s="30" t="s">
        <v>1005</v>
      </c>
      <c r="Y106" s="30" t="n">
        <v>25.5</v>
      </c>
      <c r="Z106" s="30" t="s">
        <v>1005</v>
      </c>
      <c r="AA106" s="30" t="n">
        <v>39.56</v>
      </c>
      <c r="AB106" s="30" t="s">
        <v>1005</v>
      </c>
      <c r="AC106" s="30" t="n">
        <v>14.4</v>
      </c>
      <c r="AD106" s="30" t="s">
        <v>1005</v>
      </c>
      <c r="AE106" s="30" t="n">
        <v>6</v>
      </c>
      <c r="AF106" s="30" t="s">
        <v>1005</v>
      </c>
      <c r="AG106" s="30" t="n">
        <v>0</v>
      </c>
      <c r="AH106" s="30" t="s">
        <v>1006</v>
      </c>
      <c r="AI106" s="30" t="n">
        <v>0</v>
      </c>
      <c r="AJ106" s="30" t="s">
        <v>1006</v>
      </c>
      <c r="AK106" s="30" t="n">
        <v>0</v>
      </c>
      <c r="AL106" s="30" t="s">
        <v>1006</v>
      </c>
      <c r="AM106" s="30" t="n">
        <v>0</v>
      </c>
      <c r="AN106" s="30"/>
      <c r="AO106" s="30" t="n">
        <v>14.57</v>
      </c>
      <c r="AP106" s="30" t="s">
        <v>1005</v>
      </c>
      <c r="AQ106" s="30" t="n">
        <v>16.43</v>
      </c>
      <c r="AR106" s="30" t="s">
        <v>1005</v>
      </c>
      <c r="AS106" s="30" t="n">
        <v>23.92</v>
      </c>
      <c r="AT106" s="30" t="s">
        <v>1005</v>
      </c>
      <c r="AU106" s="30" t="n">
        <v>180.5</v>
      </c>
      <c r="AV106" s="30" t="n">
        <v>0.09334</v>
      </c>
      <c r="AW106" s="30" t="s">
        <v>1007</v>
      </c>
      <c r="AX106" s="30" t="s">
        <v>1008</v>
      </c>
      <c r="AY106" s="30" t="n">
        <v>0</v>
      </c>
      <c r="AZ106" s="30"/>
    </row>
    <row collapsed="false" customFormat="true" customHeight="true" hidden="false" ht="33" outlineLevel="0" r="107" s="73">
      <c r="A107" s="30" t="n">
        <v>103</v>
      </c>
      <c r="B107" s="30" t="s">
        <v>198</v>
      </c>
      <c r="C107" s="30" t="s">
        <v>1009</v>
      </c>
      <c r="D107" s="30" t="s">
        <v>999</v>
      </c>
      <c r="E107" s="30" t="s">
        <v>1000</v>
      </c>
      <c r="F107" s="30" t="s">
        <v>1001</v>
      </c>
      <c r="G107" s="30" t="s">
        <v>1002</v>
      </c>
      <c r="H107" s="30" t="s">
        <v>1003</v>
      </c>
      <c r="I107" s="30" t="n">
        <v>1</v>
      </c>
      <c r="J107" s="30"/>
      <c r="K107" s="30" t="n">
        <v>50</v>
      </c>
      <c r="L107" s="30" t="n">
        <v>5.5</v>
      </c>
      <c r="M107" s="30" t="s">
        <v>1004</v>
      </c>
      <c r="N107" s="30" t="s">
        <v>53</v>
      </c>
      <c r="O107" s="30"/>
      <c r="P107" s="30"/>
      <c r="Q107" s="30"/>
      <c r="R107" s="30"/>
      <c r="S107" s="30"/>
      <c r="T107" s="30"/>
      <c r="U107" s="30" t="n">
        <v>148.67</v>
      </c>
      <c r="V107" s="30" t="n">
        <v>148.12</v>
      </c>
      <c r="W107" s="30" t="n">
        <v>30.43</v>
      </c>
      <c r="X107" s="30" t="s">
        <v>1005</v>
      </c>
      <c r="Y107" s="30" t="n">
        <v>19.42</v>
      </c>
      <c r="Z107" s="30" t="s">
        <v>1005</v>
      </c>
      <c r="AA107" s="30" t="n">
        <v>27.87</v>
      </c>
      <c r="AB107" s="30" t="s">
        <v>1005</v>
      </c>
      <c r="AC107" s="30" t="n">
        <v>12.14</v>
      </c>
      <c r="AD107" s="30" t="s">
        <v>1005</v>
      </c>
      <c r="AE107" s="30" t="n">
        <v>3.76</v>
      </c>
      <c r="AF107" s="30" t="s">
        <v>1005</v>
      </c>
      <c r="AG107" s="30" t="n">
        <v>0</v>
      </c>
      <c r="AH107" s="30" t="s">
        <v>1006</v>
      </c>
      <c r="AI107" s="30" t="n">
        <v>0</v>
      </c>
      <c r="AJ107" s="30" t="s">
        <v>1006</v>
      </c>
      <c r="AK107" s="30" t="n">
        <v>0</v>
      </c>
      <c r="AL107" s="30" t="s">
        <v>1006</v>
      </c>
      <c r="AM107" s="30" t="n">
        <v>0</v>
      </c>
      <c r="AN107" s="30"/>
      <c r="AO107" s="30" t="n">
        <v>12.14</v>
      </c>
      <c r="AP107" s="30" t="s">
        <v>1005</v>
      </c>
      <c r="AQ107" s="30" t="n">
        <v>11.93</v>
      </c>
      <c r="AR107" s="30" t="s">
        <v>1005</v>
      </c>
      <c r="AS107" s="30" t="n">
        <v>16.79</v>
      </c>
      <c r="AT107" s="30" t="s">
        <v>1005</v>
      </c>
      <c r="AU107" s="30" t="n">
        <v>134.48</v>
      </c>
      <c r="AV107" s="30" t="n">
        <v>0.08027</v>
      </c>
      <c r="AW107" s="30" t="s">
        <v>1007</v>
      </c>
      <c r="AX107" s="30" t="s">
        <v>1008</v>
      </c>
      <c r="AY107" s="30" t="n">
        <v>0</v>
      </c>
      <c r="AZ107" s="30"/>
    </row>
    <row collapsed="false" customFormat="true" customHeight="true" hidden="false" ht="33" outlineLevel="0" r="108" s="73">
      <c r="A108" s="30" t="n">
        <v>104</v>
      </c>
      <c r="B108" s="30" t="s">
        <v>199</v>
      </c>
      <c r="C108" s="30" t="s">
        <v>1009</v>
      </c>
      <c r="D108" s="30" t="s">
        <v>999</v>
      </c>
      <c r="E108" s="30" t="s">
        <v>1000</v>
      </c>
      <c r="F108" s="30" t="s">
        <v>1001</v>
      </c>
      <c r="G108" s="30" t="s">
        <v>1002</v>
      </c>
      <c r="H108" s="30" t="s">
        <v>1003</v>
      </c>
      <c r="I108" s="30" t="n">
        <v>1</v>
      </c>
      <c r="J108" s="30"/>
      <c r="K108" s="30" t="n">
        <v>65</v>
      </c>
      <c r="L108" s="30" t="n">
        <v>5.5</v>
      </c>
      <c r="M108" s="30" t="s">
        <v>1004</v>
      </c>
      <c r="N108" s="30" t="s">
        <v>54</v>
      </c>
      <c r="O108" s="30"/>
      <c r="P108" s="30"/>
      <c r="Q108" s="30"/>
      <c r="R108" s="30"/>
      <c r="S108" s="30"/>
      <c r="T108" s="30"/>
      <c r="U108" s="30" t="n">
        <v>167.56</v>
      </c>
      <c r="V108" s="30" t="n">
        <v>144.26</v>
      </c>
      <c r="W108" s="30" t="n">
        <v>16.69</v>
      </c>
      <c r="X108" s="30" t="s">
        <v>1005</v>
      </c>
      <c r="Y108" s="30" t="n">
        <v>16.69</v>
      </c>
      <c r="Z108" s="30" t="s">
        <v>1005</v>
      </c>
      <c r="AA108" s="30" t="n">
        <v>16.69</v>
      </c>
      <c r="AB108" s="30" t="s">
        <v>1005</v>
      </c>
      <c r="AC108" s="30" t="n">
        <v>15.87</v>
      </c>
      <c r="AD108" s="30" t="s">
        <v>1005</v>
      </c>
      <c r="AE108" s="30" t="n">
        <v>4.85</v>
      </c>
      <c r="AF108" s="30" t="s">
        <v>1005</v>
      </c>
      <c r="AG108" s="30" t="n">
        <v>0</v>
      </c>
      <c r="AH108" s="30" t="s">
        <v>1006</v>
      </c>
      <c r="AI108" s="30" t="n">
        <v>0</v>
      </c>
      <c r="AJ108" s="30" t="s">
        <v>1006</v>
      </c>
      <c r="AK108" s="30" t="n">
        <v>0</v>
      </c>
      <c r="AL108" s="30" t="s">
        <v>1006</v>
      </c>
      <c r="AM108" s="30" t="n">
        <v>0</v>
      </c>
      <c r="AN108" s="30"/>
      <c r="AO108" s="30" t="n">
        <v>17.53</v>
      </c>
      <c r="AP108" s="30" t="s">
        <v>1005</v>
      </c>
      <c r="AQ108" s="30" t="n">
        <v>17.53</v>
      </c>
      <c r="AR108" s="30" t="s">
        <v>1005</v>
      </c>
      <c r="AS108" s="30" t="n">
        <v>15.15</v>
      </c>
      <c r="AT108" s="30" t="s">
        <v>1005</v>
      </c>
      <c r="AU108" s="30" t="n">
        <v>121</v>
      </c>
      <c r="AV108" s="30" t="n">
        <v>0.08632</v>
      </c>
      <c r="AW108" s="30" t="s">
        <v>1007</v>
      </c>
      <c r="AX108" s="30" t="s">
        <v>1008</v>
      </c>
      <c r="AY108" s="30" t="n">
        <v>0</v>
      </c>
      <c r="AZ108" s="30"/>
    </row>
    <row collapsed="false" customFormat="true" customHeight="true" hidden="false" ht="33" outlineLevel="0" r="109" s="73">
      <c r="A109" s="30" t="n">
        <v>105</v>
      </c>
      <c r="B109" s="30" t="s">
        <v>200</v>
      </c>
      <c r="C109" s="30" t="s">
        <v>1009</v>
      </c>
      <c r="D109" s="30" t="s">
        <v>999</v>
      </c>
      <c r="E109" s="30" t="s">
        <v>1000</v>
      </c>
      <c r="F109" s="30" t="s">
        <v>1001</v>
      </c>
      <c r="G109" s="30" t="s">
        <v>1002</v>
      </c>
      <c r="H109" s="30" t="s">
        <v>1003</v>
      </c>
      <c r="I109" s="30" t="n">
        <v>1</v>
      </c>
      <c r="J109" s="30"/>
      <c r="K109" s="30" t="n">
        <v>80</v>
      </c>
      <c r="L109" s="30" t="n">
        <v>5.5</v>
      </c>
      <c r="M109" s="30" t="s">
        <v>1004</v>
      </c>
      <c r="N109" s="30" t="s">
        <v>53</v>
      </c>
      <c r="O109" s="30"/>
      <c r="P109" s="30"/>
      <c r="Q109" s="30"/>
      <c r="R109" s="30"/>
      <c r="S109" s="30"/>
      <c r="T109" s="30"/>
      <c r="U109" s="30" t="n">
        <v>569.57</v>
      </c>
      <c r="V109" s="30" t="n">
        <v>624.54</v>
      </c>
      <c r="W109" s="30" t="n">
        <v>75.25</v>
      </c>
      <c r="X109" s="30" t="s">
        <v>1005</v>
      </c>
      <c r="Y109" s="30" t="n">
        <v>79.1</v>
      </c>
      <c r="Z109" s="30" t="s">
        <v>1005</v>
      </c>
      <c r="AA109" s="30" t="n">
        <v>114.41</v>
      </c>
      <c r="AB109" s="30" t="s">
        <v>1005</v>
      </c>
      <c r="AC109" s="30" t="n">
        <v>47.21</v>
      </c>
      <c r="AD109" s="30" t="s">
        <v>1005</v>
      </c>
      <c r="AE109" s="30" t="n">
        <v>21.85</v>
      </c>
      <c r="AF109" s="30" t="s">
        <v>1005</v>
      </c>
      <c r="AG109" s="30" t="n">
        <v>0</v>
      </c>
      <c r="AH109" s="30" t="s">
        <v>1006</v>
      </c>
      <c r="AI109" s="30" t="n">
        <v>0</v>
      </c>
      <c r="AJ109" s="30" t="s">
        <v>1006</v>
      </c>
      <c r="AK109" s="30" t="n">
        <v>0</v>
      </c>
      <c r="AL109" s="30" t="s">
        <v>1006</v>
      </c>
      <c r="AM109" s="30" t="n">
        <v>0</v>
      </c>
      <c r="AN109" s="30"/>
      <c r="AO109" s="30" t="n">
        <v>46.9</v>
      </c>
      <c r="AP109" s="30" t="s">
        <v>1005</v>
      </c>
      <c r="AQ109" s="30" t="n">
        <v>45.56</v>
      </c>
      <c r="AR109" s="30" t="s">
        <v>1005</v>
      </c>
      <c r="AS109" s="30" t="n">
        <v>65.29</v>
      </c>
      <c r="AT109" s="30" t="s">
        <v>1005</v>
      </c>
      <c r="AU109" s="30" t="n">
        <v>495.57</v>
      </c>
      <c r="AV109" s="30" t="n">
        <v>0.27085</v>
      </c>
      <c r="AW109" s="30" t="s">
        <v>1007</v>
      </c>
      <c r="AX109" s="30" t="s">
        <v>1008</v>
      </c>
      <c r="AY109" s="30" t="n">
        <v>0</v>
      </c>
      <c r="AZ109" s="30"/>
    </row>
    <row collapsed="false" customFormat="true" customHeight="true" hidden="false" ht="33" outlineLevel="0" r="110" s="73">
      <c r="A110" s="30" t="n">
        <v>106</v>
      </c>
      <c r="B110" s="30" t="s">
        <v>201</v>
      </c>
      <c r="C110" s="30" t="s">
        <v>1009</v>
      </c>
      <c r="D110" s="30" t="s">
        <v>999</v>
      </c>
      <c r="E110" s="30" t="s">
        <v>1000</v>
      </c>
      <c r="F110" s="30" t="s">
        <v>1001</v>
      </c>
      <c r="G110" s="30" t="s">
        <v>1002</v>
      </c>
      <c r="H110" s="30" t="s">
        <v>1003</v>
      </c>
      <c r="I110" s="30" t="n">
        <v>1</v>
      </c>
      <c r="J110" s="30"/>
      <c r="K110" s="30" t="n">
        <v>65</v>
      </c>
      <c r="L110" s="30" t="n">
        <v>5.5</v>
      </c>
      <c r="M110" s="30" t="s">
        <v>1004</v>
      </c>
      <c r="N110" s="30" t="s">
        <v>54</v>
      </c>
      <c r="O110" s="30"/>
      <c r="P110" s="30"/>
      <c r="Q110" s="30"/>
      <c r="R110" s="30"/>
      <c r="S110" s="30"/>
      <c r="T110" s="30"/>
      <c r="U110" s="30" t="n">
        <v>182.12</v>
      </c>
      <c r="V110" s="30" t="n">
        <v>178.43</v>
      </c>
      <c r="W110" s="30" t="n">
        <v>16.87</v>
      </c>
      <c r="X110" s="30" t="s">
        <v>1005</v>
      </c>
      <c r="Y110" s="30" t="n">
        <v>16.87</v>
      </c>
      <c r="Z110" s="30" t="s">
        <v>1005</v>
      </c>
      <c r="AA110" s="30" t="n">
        <v>16.87</v>
      </c>
      <c r="AB110" s="30" t="s">
        <v>1005</v>
      </c>
      <c r="AC110" s="30" t="n">
        <v>13.49</v>
      </c>
      <c r="AD110" s="30" t="s">
        <v>1005</v>
      </c>
      <c r="AE110" s="30" t="n">
        <v>4.9</v>
      </c>
      <c r="AF110" s="30" t="s">
        <v>1005</v>
      </c>
      <c r="AG110" s="30" t="n">
        <v>0</v>
      </c>
      <c r="AH110" s="30" t="s">
        <v>1006</v>
      </c>
      <c r="AI110" s="30" t="n">
        <v>0</v>
      </c>
      <c r="AJ110" s="30" t="s">
        <v>1006</v>
      </c>
      <c r="AK110" s="30" t="n">
        <v>0</v>
      </c>
      <c r="AL110" s="30" t="s">
        <v>1006</v>
      </c>
      <c r="AM110" s="30" t="n">
        <v>0</v>
      </c>
      <c r="AN110" s="30"/>
      <c r="AO110" s="30" t="n">
        <v>14.81</v>
      </c>
      <c r="AP110" s="30" t="s">
        <v>1005</v>
      </c>
      <c r="AQ110" s="30" t="n">
        <v>14.77</v>
      </c>
      <c r="AR110" s="30" t="s">
        <v>1005</v>
      </c>
      <c r="AS110" s="30" t="n">
        <v>20.1</v>
      </c>
      <c r="AT110" s="30" t="s">
        <v>1005</v>
      </c>
      <c r="AU110" s="30" t="n">
        <v>118.68</v>
      </c>
      <c r="AV110" s="30" t="n">
        <v>0.0833</v>
      </c>
      <c r="AW110" s="30" t="s">
        <v>1007</v>
      </c>
      <c r="AX110" s="30" t="s">
        <v>1008</v>
      </c>
      <c r="AY110" s="30" t="n">
        <v>0</v>
      </c>
      <c r="AZ110" s="30"/>
    </row>
    <row collapsed="false" customFormat="true" customHeight="true" hidden="false" ht="33" outlineLevel="0" r="111" s="73">
      <c r="A111" s="30" t="n">
        <v>107</v>
      </c>
      <c r="B111" s="30" t="s">
        <v>202</v>
      </c>
      <c r="C111" s="30" t="s">
        <v>1009</v>
      </c>
      <c r="D111" s="30" t="s">
        <v>999</v>
      </c>
      <c r="E111" s="30" t="s">
        <v>1000</v>
      </c>
      <c r="F111" s="30" t="s">
        <v>1001</v>
      </c>
      <c r="G111" s="30" t="s">
        <v>1002</v>
      </c>
      <c r="H111" s="30" t="s">
        <v>1003</v>
      </c>
      <c r="I111" s="30" t="n">
        <v>1</v>
      </c>
      <c r="J111" s="30"/>
      <c r="K111" s="30" t="n">
        <v>65</v>
      </c>
      <c r="L111" s="30" t="n">
        <v>5.5</v>
      </c>
      <c r="M111" s="30" t="s">
        <v>1004</v>
      </c>
      <c r="N111" s="30" t="s">
        <v>54</v>
      </c>
      <c r="O111" s="30"/>
      <c r="P111" s="30"/>
      <c r="Q111" s="30"/>
      <c r="R111" s="30"/>
      <c r="S111" s="30"/>
      <c r="T111" s="30"/>
      <c r="U111" s="30" t="n">
        <v>248.41</v>
      </c>
      <c r="V111" s="30" t="n">
        <v>278.51</v>
      </c>
      <c r="W111" s="30" t="n">
        <v>27.23</v>
      </c>
      <c r="X111" s="30" t="s">
        <v>1006</v>
      </c>
      <c r="Y111" s="30" t="n">
        <v>27.23</v>
      </c>
      <c r="Z111" s="30" t="s">
        <v>1005</v>
      </c>
      <c r="AA111" s="30" t="n">
        <v>83.58</v>
      </c>
      <c r="AB111" s="30" t="s">
        <v>1005</v>
      </c>
      <c r="AC111" s="30" t="n">
        <v>41.41</v>
      </c>
      <c r="AD111" s="30" t="s">
        <v>1005</v>
      </c>
      <c r="AE111" s="30" t="n">
        <v>7.91</v>
      </c>
      <c r="AF111" s="30" t="s">
        <v>1005</v>
      </c>
      <c r="AG111" s="30" t="n">
        <v>0</v>
      </c>
      <c r="AH111" s="30" t="s">
        <v>1006</v>
      </c>
      <c r="AI111" s="30" t="n">
        <v>0</v>
      </c>
      <c r="AJ111" s="30" t="s">
        <v>1006</v>
      </c>
      <c r="AK111" s="30" t="n">
        <v>0</v>
      </c>
      <c r="AL111" s="30" t="s">
        <v>1006</v>
      </c>
      <c r="AM111" s="30" t="n">
        <v>0</v>
      </c>
      <c r="AN111" s="30"/>
      <c r="AO111" s="30" t="n">
        <v>34.43</v>
      </c>
      <c r="AP111" s="30" t="s">
        <v>1005</v>
      </c>
      <c r="AQ111" s="30" t="n">
        <v>43.77</v>
      </c>
      <c r="AR111" s="30" t="s">
        <v>1005</v>
      </c>
      <c r="AS111" s="30" t="n">
        <v>48.03</v>
      </c>
      <c r="AT111" s="30" t="s">
        <v>1005</v>
      </c>
      <c r="AU111" s="30" t="n">
        <v>313.59</v>
      </c>
      <c r="AV111" s="30" t="n">
        <v>0.10438</v>
      </c>
      <c r="AW111" s="30" t="s">
        <v>1007</v>
      </c>
      <c r="AX111" s="30" t="s">
        <v>1008</v>
      </c>
      <c r="AY111" s="30" t="n">
        <v>0</v>
      </c>
      <c r="AZ111" s="30"/>
    </row>
    <row collapsed="false" customFormat="true" customHeight="true" hidden="false" ht="33" outlineLevel="0" r="112" s="73">
      <c r="A112" s="30" t="n">
        <v>108</v>
      </c>
      <c r="B112" s="30" t="s">
        <v>203</v>
      </c>
      <c r="C112" s="30" t="s">
        <v>1009</v>
      </c>
      <c r="D112" s="30" t="s">
        <v>999</v>
      </c>
      <c r="E112" s="30" t="s">
        <v>1000</v>
      </c>
      <c r="F112" s="30" t="s">
        <v>1001</v>
      </c>
      <c r="G112" s="30" t="s">
        <v>1002</v>
      </c>
      <c r="H112" s="30" t="s">
        <v>1003</v>
      </c>
      <c r="I112" s="30" t="n">
        <v>1</v>
      </c>
      <c r="J112" s="30"/>
      <c r="K112" s="30" t="n">
        <v>65</v>
      </c>
      <c r="L112" s="30" t="n">
        <v>5.5</v>
      </c>
      <c r="M112" s="30" t="s">
        <v>1004</v>
      </c>
      <c r="N112" s="30" t="s">
        <v>54</v>
      </c>
      <c r="O112" s="30"/>
      <c r="P112" s="30"/>
      <c r="Q112" s="30"/>
      <c r="R112" s="30"/>
      <c r="S112" s="30"/>
      <c r="T112" s="30"/>
      <c r="U112" s="30" t="n">
        <v>234.06</v>
      </c>
      <c r="V112" s="30" t="n">
        <v>196.32</v>
      </c>
      <c r="W112" s="30" t="n">
        <v>43.9</v>
      </c>
      <c r="X112" s="30" t="s">
        <v>1005</v>
      </c>
      <c r="Y112" s="30" t="n">
        <v>26.41</v>
      </c>
      <c r="Z112" s="30" t="s">
        <v>1005</v>
      </c>
      <c r="AA112" s="30" t="n">
        <v>39.85</v>
      </c>
      <c r="AB112" s="30" t="s">
        <v>1005</v>
      </c>
      <c r="AC112" s="30" t="n">
        <v>14.3</v>
      </c>
      <c r="AD112" s="30" t="s">
        <v>1005</v>
      </c>
      <c r="AE112" s="30" t="n">
        <v>6.07</v>
      </c>
      <c r="AF112" s="30" t="s">
        <v>1005</v>
      </c>
      <c r="AG112" s="30" t="n">
        <v>0</v>
      </c>
      <c r="AH112" s="30" t="s">
        <v>1006</v>
      </c>
      <c r="AI112" s="30" t="n">
        <v>0</v>
      </c>
      <c r="AJ112" s="30" t="s">
        <v>1006</v>
      </c>
      <c r="AK112" s="30" t="n">
        <v>0</v>
      </c>
      <c r="AL112" s="30" t="s">
        <v>1006</v>
      </c>
      <c r="AM112" s="30" t="n">
        <v>0</v>
      </c>
      <c r="AN112" s="30"/>
      <c r="AO112" s="30" t="n">
        <v>14.4</v>
      </c>
      <c r="AP112" s="30" t="s">
        <v>1005</v>
      </c>
      <c r="AQ112" s="30" t="n">
        <v>15.9</v>
      </c>
      <c r="AR112" s="30" t="s">
        <v>1005</v>
      </c>
      <c r="AS112" s="30" t="n">
        <v>24.16</v>
      </c>
      <c r="AT112" s="30" t="s">
        <v>1005</v>
      </c>
      <c r="AU112" s="30" t="n">
        <v>184.99</v>
      </c>
      <c r="AV112" s="30" t="n">
        <v>0.09334</v>
      </c>
      <c r="AW112" s="30" t="s">
        <v>1007</v>
      </c>
      <c r="AX112" s="30" t="s">
        <v>1008</v>
      </c>
      <c r="AY112" s="30" t="n">
        <v>0</v>
      </c>
      <c r="AZ112" s="30"/>
    </row>
    <row collapsed="false" customFormat="true" customHeight="true" hidden="false" ht="33" outlineLevel="0" r="113" s="73">
      <c r="A113" s="30" t="n">
        <v>109</v>
      </c>
      <c r="B113" s="30" t="s">
        <v>204</v>
      </c>
      <c r="C113" s="30" t="s">
        <v>1009</v>
      </c>
      <c r="D113" s="30" t="s">
        <v>999</v>
      </c>
      <c r="E113" s="30" t="s">
        <v>1000</v>
      </c>
      <c r="F113" s="30" t="s">
        <v>1001</v>
      </c>
      <c r="G113" s="30" t="s">
        <v>1002</v>
      </c>
      <c r="H113" s="30" t="s">
        <v>1003</v>
      </c>
      <c r="I113" s="30" t="n">
        <v>1</v>
      </c>
      <c r="J113" s="30"/>
      <c r="K113" s="30" t="n">
        <v>80</v>
      </c>
      <c r="L113" s="30" t="n">
        <v>5.5</v>
      </c>
      <c r="M113" s="30" t="s">
        <v>1004</v>
      </c>
      <c r="N113" s="30" t="s">
        <v>53</v>
      </c>
      <c r="O113" s="30"/>
      <c r="P113" s="30"/>
      <c r="Q113" s="30"/>
      <c r="R113" s="30"/>
      <c r="S113" s="30"/>
      <c r="T113" s="30"/>
      <c r="U113" s="30" t="n">
        <v>490.77</v>
      </c>
      <c r="V113" s="30" t="n">
        <v>529.18</v>
      </c>
      <c r="W113" s="30" t="n">
        <v>90.99</v>
      </c>
      <c r="X113" s="30" t="s">
        <v>1005</v>
      </c>
      <c r="Y113" s="30" t="n">
        <v>71.36</v>
      </c>
      <c r="Z113" s="30" t="s">
        <v>1005</v>
      </c>
      <c r="AA113" s="30" t="n">
        <v>97.59</v>
      </c>
      <c r="AB113" s="30" t="s">
        <v>1005</v>
      </c>
      <c r="AC113" s="30" t="n">
        <v>37.09</v>
      </c>
      <c r="AD113" s="30" t="s">
        <v>1005</v>
      </c>
      <c r="AE113" s="30" t="n">
        <v>22.91</v>
      </c>
      <c r="AF113" s="30" t="s">
        <v>1005</v>
      </c>
      <c r="AG113" s="30" t="n">
        <v>0</v>
      </c>
      <c r="AH113" s="30" t="s">
        <v>1006</v>
      </c>
      <c r="AI113" s="30" t="n">
        <v>0</v>
      </c>
      <c r="AJ113" s="30" t="s">
        <v>1006</v>
      </c>
      <c r="AK113" s="30" t="n">
        <v>0</v>
      </c>
      <c r="AL113" s="30" t="s">
        <v>1006</v>
      </c>
      <c r="AM113" s="30" t="n">
        <v>0</v>
      </c>
      <c r="AN113" s="30"/>
      <c r="AO113" s="30" t="n">
        <v>36.15</v>
      </c>
      <c r="AP113" s="30" t="s">
        <v>1005</v>
      </c>
      <c r="AQ113" s="30" t="n">
        <v>36.67</v>
      </c>
      <c r="AR113" s="30" t="s">
        <v>1005</v>
      </c>
      <c r="AS113" s="30" t="n">
        <v>57.44</v>
      </c>
      <c r="AT113" s="30" t="s">
        <v>1005</v>
      </c>
      <c r="AU113" s="30" t="n">
        <v>450.2</v>
      </c>
      <c r="AV113" s="30" t="n">
        <v>0.24776</v>
      </c>
      <c r="AW113" s="30" t="s">
        <v>1007</v>
      </c>
      <c r="AX113" s="30" t="s">
        <v>1008</v>
      </c>
      <c r="AY113" s="30" t="n">
        <v>0</v>
      </c>
      <c r="AZ113" s="30"/>
    </row>
    <row collapsed="false" customFormat="true" customHeight="true" hidden="false" ht="33" outlineLevel="0" r="114" s="73">
      <c r="A114" s="30" t="n">
        <v>110</v>
      </c>
      <c r="B114" s="30" t="s">
        <v>205</v>
      </c>
      <c r="C114" s="30" t="s">
        <v>1009</v>
      </c>
      <c r="D114" s="30" t="s">
        <v>999</v>
      </c>
      <c r="E114" s="30" t="s">
        <v>1000</v>
      </c>
      <c r="F114" s="30" t="s">
        <v>1001</v>
      </c>
      <c r="G114" s="30" t="s">
        <v>1002</v>
      </c>
      <c r="H114" s="30" t="s">
        <v>1003</v>
      </c>
      <c r="I114" s="30" t="n">
        <v>1</v>
      </c>
      <c r="J114" s="30"/>
      <c r="K114" s="30" t="n">
        <v>65</v>
      </c>
      <c r="L114" s="30" t="n">
        <v>5.5</v>
      </c>
      <c r="M114" s="30" t="s">
        <v>1004</v>
      </c>
      <c r="N114" s="30" t="s">
        <v>54</v>
      </c>
      <c r="O114" s="30"/>
      <c r="P114" s="30"/>
      <c r="Q114" s="30"/>
      <c r="R114" s="30"/>
      <c r="S114" s="30"/>
      <c r="T114" s="30"/>
      <c r="U114" s="30" t="n">
        <v>544.14</v>
      </c>
      <c r="V114" s="30" t="n">
        <v>538.85</v>
      </c>
      <c r="W114" s="30" t="n">
        <v>89.55</v>
      </c>
      <c r="X114" s="30" t="s">
        <v>1005</v>
      </c>
      <c r="Y114" s="30" t="n">
        <v>72.85</v>
      </c>
      <c r="Z114" s="30" t="s">
        <v>1005</v>
      </c>
      <c r="AA114" s="30" t="n">
        <v>101.37</v>
      </c>
      <c r="AB114" s="30" t="s">
        <v>1005</v>
      </c>
      <c r="AC114" s="30" t="n">
        <v>37.61</v>
      </c>
      <c r="AD114" s="30" t="s">
        <v>1005</v>
      </c>
      <c r="AE114" s="30" t="n">
        <v>17.72</v>
      </c>
      <c r="AF114" s="30" t="s">
        <v>1005</v>
      </c>
      <c r="AG114" s="30" t="n">
        <v>0</v>
      </c>
      <c r="AH114" s="30" t="s">
        <v>1006</v>
      </c>
      <c r="AI114" s="30" t="n">
        <v>0</v>
      </c>
      <c r="AJ114" s="30" t="s">
        <v>1006</v>
      </c>
      <c r="AK114" s="30" t="n">
        <v>0</v>
      </c>
      <c r="AL114" s="30" t="s">
        <v>1006</v>
      </c>
      <c r="AM114" s="30" t="n">
        <v>0</v>
      </c>
      <c r="AN114" s="30"/>
      <c r="AO114" s="30" t="n">
        <v>43.49</v>
      </c>
      <c r="AP114" s="30" t="s">
        <v>1005</v>
      </c>
      <c r="AQ114" s="30" t="n">
        <v>42.87</v>
      </c>
      <c r="AR114" s="30" t="s">
        <v>1005</v>
      </c>
      <c r="AS114" s="30" t="n">
        <v>55.71</v>
      </c>
      <c r="AT114" s="30" t="s">
        <v>1005</v>
      </c>
      <c r="AU114" s="30" t="n">
        <v>461.17</v>
      </c>
      <c r="AV114" s="30" t="n">
        <v>0.22081</v>
      </c>
      <c r="AW114" s="30" t="s">
        <v>1007</v>
      </c>
      <c r="AX114" s="30" t="s">
        <v>1008</v>
      </c>
      <c r="AY114" s="30" t="n">
        <v>0</v>
      </c>
      <c r="AZ114" s="30"/>
    </row>
    <row collapsed="false" customFormat="true" customHeight="true" hidden="false" ht="33" outlineLevel="0" r="115" s="73">
      <c r="A115" s="30" t="n">
        <v>111</v>
      </c>
      <c r="B115" s="30" t="s">
        <v>208</v>
      </c>
      <c r="C115" s="30" t="s">
        <v>1009</v>
      </c>
      <c r="D115" s="30" t="s">
        <v>999</v>
      </c>
      <c r="E115" s="30" t="s">
        <v>1000</v>
      </c>
      <c r="F115" s="30" t="s">
        <v>1014</v>
      </c>
      <c r="G115" s="30" t="s">
        <v>1002</v>
      </c>
      <c r="H115" s="30" t="s">
        <v>1003</v>
      </c>
      <c r="I115" s="30" t="n">
        <v>1</v>
      </c>
      <c r="J115" s="30"/>
      <c r="K115" s="30" t="n">
        <v>50</v>
      </c>
      <c r="L115" s="30" t="n">
        <v>10</v>
      </c>
      <c r="M115" s="30" t="s">
        <v>1004</v>
      </c>
      <c r="N115" s="30" t="s">
        <v>54</v>
      </c>
      <c r="O115" s="30"/>
      <c r="P115" s="30"/>
      <c r="Q115" s="30"/>
      <c r="R115" s="30"/>
      <c r="S115" s="30"/>
      <c r="T115" s="30"/>
      <c r="U115" s="30" t="n">
        <v>161.38</v>
      </c>
      <c r="V115" s="30" t="n">
        <v>166.97</v>
      </c>
      <c r="W115" s="30" t="n">
        <v>34.02</v>
      </c>
      <c r="X115" s="30" t="s">
        <v>1005</v>
      </c>
      <c r="Y115" s="30" t="n">
        <v>21.31</v>
      </c>
      <c r="Z115" s="30" t="s">
        <v>1005</v>
      </c>
      <c r="AA115" s="30" t="n">
        <v>29.18</v>
      </c>
      <c r="AB115" s="30" t="s">
        <v>1005</v>
      </c>
      <c r="AC115" s="30" t="n">
        <v>13.78</v>
      </c>
      <c r="AD115" s="30" t="s">
        <v>1005</v>
      </c>
      <c r="AE115" s="30" t="n">
        <v>4.86</v>
      </c>
      <c r="AF115" s="30" t="s">
        <v>1005</v>
      </c>
      <c r="AG115" s="30" t="n">
        <v>0</v>
      </c>
      <c r="AH115" s="30"/>
      <c r="AI115" s="30" t="n">
        <v>0</v>
      </c>
      <c r="AJ115" s="30"/>
      <c r="AK115" s="30" t="n">
        <v>0</v>
      </c>
      <c r="AL115" s="30"/>
      <c r="AM115" s="30" t="n">
        <v>0</v>
      </c>
      <c r="AN115" s="30" t="s">
        <v>1005</v>
      </c>
      <c r="AO115" s="30" t="n">
        <v>13.58</v>
      </c>
      <c r="AP115" s="30" t="s">
        <v>1005</v>
      </c>
      <c r="AQ115" s="30" t="n">
        <v>13.47</v>
      </c>
      <c r="AR115" s="30" t="s">
        <v>1005</v>
      </c>
      <c r="AS115" s="30" t="n">
        <v>16.51</v>
      </c>
      <c r="AT115" s="30" t="s">
        <v>1005</v>
      </c>
      <c r="AU115" s="30" t="n">
        <v>146.71</v>
      </c>
      <c r="AV115" s="30" t="n">
        <v>0.06825</v>
      </c>
      <c r="AW115" s="30" t="s">
        <v>1007</v>
      </c>
      <c r="AX115" s="30" t="s">
        <v>1008</v>
      </c>
      <c r="AY115" s="30" t="n">
        <v>1</v>
      </c>
      <c r="AZ115" s="30"/>
    </row>
    <row collapsed="false" customFormat="true" customHeight="true" hidden="false" ht="33" outlineLevel="0" r="116" s="73">
      <c r="A116" s="30" t="n">
        <v>112</v>
      </c>
      <c r="B116" s="30" t="s">
        <v>209</v>
      </c>
      <c r="C116" s="30" t="s">
        <v>1009</v>
      </c>
      <c r="D116" s="30" t="s">
        <v>999</v>
      </c>
      <c r="E116" s="30" t="s">
        <v>1000</v>
      </c>
      <c r="F116" s="30" t="s">
        <v>1014</v>
      </c>
      <c r="G116" s="30" t="s">
        <v>1002</v>
      </c>
      <c r="H116" s="30" t="s">
        <v>1003</v>
      </c>
      <c r="I116" s="30" t="n">
        <v>1</v>
      </c>
      <c r="J116" s="30"/>
      <c r="K116" s="30" t="n">
        <v>50</v>
      </c>
      <c r="L116" s="30" t="n">
        <v>10</v>
      </c>
      <c r="M116" s="30" t="s">
        <v>1004</v>
      </c>
      <c r="N116" s="30" t="s">
        <v>54</v>
      </c>
      <c r="O116" s="30"/>
      <c r="P116" s="30"/>
      <c r="Q116" s="30"/>
      <c r="R116" s="30"/>
      <c r="S116" s="30"/>
      <c r="T116" s="30"/>
      <c r="U116" s="30" t="n">
        <v>163.82</v>
      </c>
      <c r="V116" s="30" t="n">
        <v>153.07</v>
      </c>
      <c r="W116" s="30" t="n">
        <v>34.55</v>
      </c>
      <c r="X116" s="30" t="s">
        <v>1005</v>
      </c>
      <c r="Y116" s="30" t="n">
        <v>21.92</v>
      </c>
      <c r="Z116" s="30" t="s">
        <v>1005</v>
      </c>
      <c r="AA116" s="30" t="n">
        <v>30.74</v>
      </c>
      <c r="AB116" s="30" t="s">
        <v>1005</v>
      </c>
      <c r="AC116" s="30" t="n">
        <v>14.96</v>
      </c>
      <c r="AD116" s="30" t="s">
        <v>1005</v>
      </c>
      <c r="AE116" s="30" t="n">
        <v>5.54</v>
      </c>
      <c r="AF116" s="30" t="s">
        <v>1005</v>
      </c>
      <c r="AG116" s="30" t="n">
        <v>0</v>
      </c>
      <c r="AH116" s="30"/>
      <c r="AI116" s="30" t="n">
        <v>0</v>
      </c>
      <c r="AJ116" s="30"/>
      <c r="AK116" s="30" t="n">
        <v>0</v>
      </c>
      <c r="AL116" s="30"/>
      <c r="AM116" s="30" t="n">
        <v>0</v>
      </c>
      <c r="AN116" s="30" t="s">
        <v>1005</v>
      </c>
      <c r="AO116" s="30" t="n">
        <v>12.96</v>
      </c>
      <c r="AP116" s="30" t="s">
        <v>1005</v>
      </c>
      <c r="AQ116" s="30" t="n">
        <v>12.97</v>
      </c>
      <c r="AR116" s="30" t="s">
        <v>1005</v>
      </c>
      <c r="AS116" s="30" t="n">
        <v>16.13</v>
      </c>
      <c r="AT116" s="30" t="s">
        <v>1005</v>
      </c>
      <c r="AU116" s="30" t="n">
        <v>149.77</v>
      </c>
      <c r="AV116" s="30" t="n">
        <v>0.06825</v>
      </c>
      <c r="AW116" s="30" t="s">
        <v>1007</v>
      </c>
      <c r="AX116" s="30" t="s">
        <v>1008</v>
      </c>
      <c r="AY116" s="30" t="n">
        <v>1</v>
      </c>
      <c r="AZ116" s="30"/>
    </row>
    <row collapsed="false" customFormat="true" customHeight="true" hidden="false" ht="33" outlineLevel="0" r="117" s="73">
      <c r="A117" s="30" t="n">
        <v>114</v>
      </c>
      <c r="B117" s="30" t="s">
        <v>212</v>
      </c>
      <c r="C117" s="30" t="s">
        <v>1009</v>
      </c>
      <c r="D117" s="30" t="s">
        <v>999</v>
      </c>
      <c r="E117" s="30" t="s">
        <v>1000</v>
      </c>
      <c r="F117" s="30" t="s">
        <v>1014</v>
      </c>
      <c r="G117" s="30" t="s">
        <v>1002</v>
      </c>
      <c r="H117" s="30" t="s">
        <v>1003</v>
      </c>
      <c r="I117" s="30" t="n">
        <v>1</v>
      </c>
      <c r="J117" s="30"/>
      <c r="K117" s="30" t="n">
        <v>50</v>
      </c>
      <c r="L117" s="30" t="n">
        <v>10</v>
      </c>
      <c r="M117" s="30" t="s">
        <v>1004</v>
      </c>
      <c r="N117" s="30" t="s">
        <v>54</v>
      </c>
      <c r="O117" s="30"/>
      <c r="P117" s="30"/>
      <c r="Q117" s="30"/>
      <c r="R117" s="30"/>
      <c r="S117" s="30"/>
      <c r="T117" s="30"/>
      <c r="U117" s="30" t="n">
        <v>174.96</v>
      </c>
      <c r="V117" s="30" t="n">
        <v>164.81</v>
      </c>
      <c r="W117" s="30" t="n">
        <v>33.99</v>
      </c>
      <c r="X117" s="30" t="s">
        <v>1005</v>
      </c>
      <c r="Y117" s="30" t="n">
        <v>21.62</v>
      </c>
      <c r="Z117" s="30" t="s">
        <v>1005</v>
      </c>
      <c r="AA117" s="30" t="n">
        <v>30.23</v>
      </c>
      <c r="AB117" s="30" t="s">
        <v>1005</v>
      </c>
      <c r="AC117" s="30" t="n">
        <v>14.34</v>
      </c>
      <c r="AD117" s="30" t="s">
        <v>1005</v>
      </c>
      <c r="AE117" s="30" t="n">
        <v>5.34</v>
      </c>
      <c r="AF117" s="30" t="s">
        <v>1005</v>
      </c>
      <c r="AG117" s="30" t="n">
        <v>0</v>
      </c>
      <c r="AH117" s="30"/>
      <c r="AI117" s="30" t="n">
        <v>0</v>
      </c>
      <c r="AJ117" s="30"/>
      <c r="AK117" s="30" t="n">
        <v>0</v>
      </c>
      <c r="AL117" s="30"/>
      <c r="AM117" s="30" t="n">
        <v>0</v>
      </c>
      <c r="AN117" s="30" t="s">
        <v>1005</v>
      </c>
      <c r="AO117" s="30" t="n">
        <v>6.71</v>
      </c>
      <c r="AP117" s="30" t="s">
        <v>1005</v>
      </c>
      <c r="AQ117" s="30" t="n">
        <v>14</v>
      </c>
      <c r="AR117" s="30" t="s">
        <v>1005</v>
      </c>
      <c r="AS117" s="30" t="n">
        <v>16.98</v>
      </c>
      <c r="AT117" s="30" t="s">
        <v>1005</v>
      </c>
      <c r="AU117" s="30" t="n">
        <v>143.21</v>
      </c>
      <c r="AV117" s="30" t="n">
        <v>0.06323</v>
      </c>
      <c r="AW117" s="30" t="s">
        <v>1007</v>
      </c>
      <c r="AX117" s="30" t="s">
        <v>1008</v>
      </c>
      <c r="AY117" s="30" t="n">
        <v>1</v>
      </c>
      <c r="AZ117" s="30"/>
    </row>
    <row collapsed="false" customFormat="true" customHeight="true" hidden="false" ht="33" outlineLevel="0" r="118" s="73">
      <c r="A118" s="30" t="n">
        <v>115</v>
      </c>
      <c r="B118" s="30" t="s">
        <v>213</v>
      </c>
      <c r="C118" s="30" t="s">
        <v>1009</v>
      </c>
      <c r="D118" s="30" t="s">
        <v>999</v>
      </c>
      <c r="E118" s="30" t="s">
        <v>1000</v>
      </c>
      <c r="F118" s="30" t="s">
        <v>1014</v>
      </c>
      <c r="G118" s="30" t="s">
        <v>1002</v>
      </c>
      <c r="H118" s="30" t="s">
        <v>1003</v>
      </c>
      <c r="I118" s="30" t="n">
        <v>1</v>
      </c>
      <c r="J118" s="30"/>
      <c r="K118" s="30" t="n">
        <v>50</v>
      </c>
      <c r="L118" s="30" t="n">
        <v>10</v>
      </c>
      <c r="M118" s="30" t="s">
        <v>1004</v>
      </c>
      <c r="N118" s="30" t="s">
        <v>54</v>
      </c>
      <c r="O118" s="30"/>
      <c r="P118" s="30"/>
      <c r="Q118" s="30"/>
      <c r="R118" s="30"/>
      <c r="S118" s="30"/>
      <c r="T118" s="30"/>
      <c r="U118" s="30" t="n">
        <v>151.3</v>
      </c>
      <c r="V118" s="30" t="n">
        <v>145.25</v>
      </c>
      <c r="W118" s="30" t="n">
        <v>26.36</v>
      </c>
      <c r="X118" s="30" t="s">
        <v>1005</v>
      </c>
      <c r="Y118" s="30" t="n">
        <v>16.21</v>
      </c>
      <c r="Z118" s="30" t="s">
        <v>1005</v>
      </c>
      <c r="AA118" s="30" t="n">
        <v>26.17</v>
      </c>
      <c r="AB118" s="30" t="s">
        <v>1005</v>
      </c>
      <c r="AC118" s="30" t="n">
        <v>14.63</v>
      </c>
      <c r="AD118" s="30" t="s">
        <v>1005</v>
      </c>
      <c r="AE118" s="30" t="n">
        <v>5.14</v>
      </c>
      <c r="AF118" s="30" t="s">
        <v>1005</v>
      </c>
      <c r="AG118" s="30" t="n">
        <v>0</v>
      </c>
      <c r="AH118" s="30"/>
      <c r="AI118" s="30" t="n">
        <v>0</v>
      </c>
      <c r="AJ118" s="30"/>
      <c r="AK118" s="30" t="n">
        <v>0</v>
      </c>
      <c r="AL118" s="30"/>
      <c r="AM118" s="30" t="n">
        <v>0</v>
      </c>
      <c r="AN118" s="30" t="s">
        <v>1005</v>
      </c>
      <c r="AO118" s="30" t="n">
        <v>7.4</v>
      </c>
      <c r="AP118" s="30" t="s">
        <v>1005</v>
      </c>
      <c r="AQ118" s="30" t="n">
        <v>13.64</v>
      </c>
      <c r="AR118" s="30" t="s">
        <v>1005</v>
      </c>
      <c r="AS118" s="30" t="n">
        <v>16.58</v>
      </c>
      <c r="AT118" s="30" t="s">
        <v>1005</v>
      </c>
      <c r="AU118" s="30" t="n">
        <v>126.13</v>
      </c>
      <c r="AV118" s="30" t="n">
        <v>0.06825</v>
      </c>
      <c r="AW118" s="30" t="s">
        <v>1007</v>
      </c>
      <c r="AX118" s="30" t="s">
        <v>1008</v>
      </c>
      <c r="AY118" s="30" t="n">
        <v>1</v>
      </c>
      <c r="AZ118" s="30"/>
    </row>
    <row collapsed="false" customFormat="true" customHeight="true" hidden="false" ht="33" outlineLevel="0" r="119" s="73">
      <c r="A119" s="30" t="n">
        <v>116</v>
      </c>
      <c r="B119" s="30" t="s">
        <v>214</v>
      </c>
      <c r="C119" s="30" t="s">
        <v>1009</v>
      </c>
      <c r="D119" s="30" t="s">
        <v>999</v>
      </c>
      <c r="E119" s="30" t="s">
        <v>1000</v>
      </c>
      <c r="F119" s="30" t="s">
        <v>1014</v>
      </c>
      <c r="G119" s="30" t="s">
        <v>1002</v>
      </c>
      <c r="H119" s="30" t="s">
        <v>1003</v>
      </c>
      <c r="I119" s="30" t="n">
        <v>1</v>
      </c>
      <c r="J119" s="30"/>
      <c r="K119" s="30" t="n">
        <v>50</v>
      </c>
      <c r="L119" s="30" t="n">
        <v>10</v>
      </c>
      <c r="M119" s="30" t="s">
        <v>1004</v>
      </c>
      <c r="N119" s="30" t="s">
        <v>54</v>
      </c>
      <c r="O119" s="30"/>
      <c r="P119" s="30"/>
      <c r="Q119" s="30"/>
      <c r="R119" s="30"/>
      <c r="S119" s="30"/>
      <c r="T119" s="30"/>
      <c r="U119" s="30" t="n">
        <v>138.53</v>
      </c>
      <c r="V119" s="30" t="n">
        <v>132.61</v>
      </c>
      <c r="W119" s="30" t="n">
        <v>29.87</v>
      </c>
      <c r="X119" s="30" t="s">
        <v>1005</v>
      </c>
      <c r="Y119" s="30" t="n">
        <v>18.68</v>
      </c>
      <c r="Z119" s="30" t="s">
        <v>1005</v>
      </c>
      <c r="AA119" s="30" t="n">
        <v>26.94</v>
      </c>
      <c r="AB119" s="30" t="s">
        <v>1005</v>
      </c>
      <c r="AC119" s="30" t="n">
        <v>11.81</v>
      </c>
      <c r="AD119" s="30" t="s">
        <v>1005</v>
      </c>
      <c r="AE119" s="30" t="n">
        <v>4.12</v>
      </c>
      <c r="AF119" s="30" t="s">
        <v>1005</v>
      </c>
      <c r="AG119" s="30" t="n">
        <v>0</v>
      </c>
      <c r="AH119" s="30"/>
      <c r="AI119" s="30" t="n">
        <v>0</v>
      </c>
      <c r="AJ119" s="30"/>
      <c r="AK119" s="30" t="n">
        <v>0</v>
      </c>
      <c r="AL119" s="30"/>
      <c r="AM119" s="30" t="n">
        <v>0</v>
      </c>
      <c r="AN119" s="30" t="s">
        <v>1005</v>
      </c>
      <c r="AO119" s="30" t="n">
        <v>11.4</v>
      </c>
      <c r="AP119" s="30" t="s">
        <v>1005</v>
      </c>
      <c r="AQ119" s="30" t="n">
        <v>12.44</v>
      </c>
      <c r="AR119" s="30" t="s">
        <v>1005</v>
      </c>
      <c r="AS119" s="30" t="n">
        <v>15.2</v>
      </c>
      <c r="AT119" s="30" t="s">
        <v>1005</v>
      </c>
      <c r="AU119" s="30" t="n">
        <v>130.46</v>
      </c>
      <c r="AV119" s="30" t="n">
        <v>0.06825</v>
      </c>
      <c r="AW119" s="30" t="s">
        <v>1007</v>
      </c>
      <c r="AX119" s="30" t="s">
        <v>1008</v>
      </c>
      <c r="AY119" s="30" t="n">
        <v>1</v>
      </c>
      <c r="AZ119" s="30"/>
    </row>
    <row collapsed="false" customFormat="true" customHeight="true" hidden="false" ht="33" outlineLevel="0" r="120" s="73">
      <c r="A120" s="30" t="n">
        <v>117</v>
      </c>
      <c r="B120" s="30" t="s">
        <v>216</v>
      </c>
      <c r="C120" s="30" t="s">
        <v>1009</v>
      </c>
      <c r="D120" s="30" t="s">
        <v>999</v>
      </c>
      <c r="E120" s="30" t="s">
        <v>1010</v>
      </c>
      <c r="F120" s="30" t="s">
        <v>1011</v>
      </c>
      <c r="G120" s="30" t="s">
        <v>1002</v>
      </c>
      <c r="H120" s="30" t="s">
        <v>1003</v>
      </c>
      <c r="I120" s="30" t="n">
        <v>1</v>
      </c>
      <c r="J120" s="30"/>
      <c r="K120" s="30"/>
      <c r="L120" s="30"/>
      <c r="M120" s="30" t="s">
        <v>1004</v>
      </c>
      <c r="N120" s="30" t="s">
        <v>54</v>
      </c>
      <c r="O120" s="30"/>
      <c r="P120" s="30"/>
      <c r="Q120" s="30"/>
      <c r="R120" s="30"/>
      <c r="S120" s="30"/>
      <c r="T120" s="30"/>
      <c r="U120" s="30" t="n">
        <v>162.89</v>
      </c>
      <c r="V120" s="30" t="n">
        <v>236.07</v>
      </c>
      <c r="W120" s="30" t="n">
        <v>34.04</v>
      </c>
      <c r="X120" s="30" t="s">
        <v>1005</v>
      </c>
      <c r="Y120" s="30" t="n">
        <v>24.76</v>
      </c>
      <c r="Z120" s="30" t="s">
        <v>1005</v>
      </c>
      <c r="AA120" s="30" t="n">
        <v>41.59</v>
      </c>
      <c r="AB120" s="30" t="s">
        <v>1005</v>
      </c>
      <c r="AC120" s="30" t="n">
        <v>15.25</v>
      </c>
      <c r="AD120" s="30" t="s">
        <v>1005</v>
      </c>
      <c r="AE120" s="30" t="n">
        <v>9.32</v>
      </c>
      <c r="AF120" s="30" t="s">
        <v>1005</v>
      </c>
      <c r="AG120" s="30" t="n">
        <v>0</v>
      </c>
      <c r="AH120" s="30" t="s">
        <v>1005</v>
      </c>
      <c r="AI120" s="30" t="n">
        <v>0</v>
      </c>
      <c r="AJ120" s="30" t="s">
        <v>1005</v>
      </c>
      <c r="AK120" s="30" t="n">
        <v>0</v>
      </c>
      <c r="AL120" s="30" t="s">
        <v>1005</v>
      </c>
      <c r="AM120" s="30" t="n">
        <v>0</v>
      </c>
      <c r="AN120" s="30" t="s">
        <v>1005</v>
      </c>
      <c r="AO120" s="30" t="n">
        <v>17.32</v>
      </c>
      <c r="AP120" s="30" t="s">
        <v>1005</v>
      </c>
      <c r="AQ120" s="30" t="n">
        <v>70.36</v>
      </c>
      <c r="AR120" s="30" t="s">
        <v>1005</v>
      </c>
      <c r="AS120" s="30" t="n">
        <v>24.09</v>
      </c>
      <c r="AT120" s="30" t="s">
        <v>1005</v>
      </c>
      <c r="AU120" s="30" t="n">
        <v>236.73</v>
      </c>
      <c r="AV120" s="30" t="n">
        <v>0.084</v>
      </c>
      <c r="AW120" s="30" t="s">
        <v>1007</v>
      </c>
      <c r="AX120" s="30" t="s">
        <v>1008</v>
      </c>
      <c r="AY120" s="30" t="n">
        <v>1</v>
      </c>
      <c r="AZ120" s="30"/>
    </row>
    <row collapsed="false" customFormat="true" customHeight="true" hidden="false" ht="33" outlineLevel="0" r="121" s="73">
      <c r="A121" s="30" t="n">
        <v>119</v>
      </c>
      <c r="B121" s="30" t="s">
        <v>218</v>
      </c>
      <c r="C121" s="30" t="s">
        <v>1009</v>
      </c>
      <c r="D121" s="30" t="s">
        <v>999</v>
      </c>
      <c r="E121" s="30" t="s">
        <v>1010</v>
      </c>
      <c r="F121" s="30" t="s">
        <v>1011</v>
      </c>
      <c r="G121" s="30" t="s">
        <v>1002</v>
      </c>
      <c r="H121" s="30" t="s">
        <v>1003</v>
      </c>
      <c r="I121" s="30" t="n">
        <v>1</v>
      </c>
      <c r="J121" s="30"/>
      <c r="K121" s="30"/>
      <c r="L121" s="30"/>
      <c r="M121" s="30" t="s">
        <v>1004</v>
      </c>
      <c r="N121" s="30" t="s">
        <v>54</v>
      </c>
      <c r="O121" s="30"/>
      <c r="P121" s="30"/>
      <c r="Q121" s="30"/>
      <c r="R121" s="30"/>
      <c r="S121" s="30"/>
      <c r="T121" s="30"/>
      <c r="U121" s="30" t="n">
        <v>124.05</v>
      </c>
      <c r="V121" s="30" t="n">
        <v>193.15</v>
      </c>
      <c r="W121" s="30" t="n">
        <v>38.86</v>
      </c>
      <c r="X121" s="30" t="s">
        <v>1005</v>
      </c>
      <c r="Y121" s="30" t="n">
        <v>25</v>
      </c>
      <c r="Z121" s="30" t="s">
        <v>1005</v>
      </c>
      <c r="AA121" s="30" t="n">
        <v>34.47</v>
      </c>
      <c r="AB121" s="30" t="s">
        <v>1005</v>
      </c>
      <c r="AC121" s="30" t="n">
        <v>12.07</v>
      </c>
      <c r="AD121" s="30" t="s">
        <v>1005</v>
      </c>
      <c r="AE121" s="30" t="n">
        <v>7.62</v>
      </c>
      <c r="AF121" s="30" t="s">
        <v>1005</v>
      </c>
      <c r="AG121" s="30" t="n">
        <v>0</v>
      </c>
      <c r="AH121" s="30" t="s">
        <v>1005</v>
      </c>
      <c r="AI121" s="30" t="n">
        <v>0</v>
      </c>
      <c r="AJ121" s="30" t="s">
        <v>1005</v>
      </c>
      <c r="AK121" s="30" t="n">
        <v>0</v>
      </c>
      <c r="AL121" s="30" t="s">
        <v>1005</v>
      </c>
      <c r="AM121" s="30" t="n">
        <v>0</v>
      </c>
      <c r="AN121" s="30" t="s">
        <v>1005</v>
      </c>
      <c r="AO121" s="30" t="n">
        <v>15.56</v>
      </c>
      <c r="AP121" s="30" t="s">
        <v>1005</v>
      </c>
      <c r="AQ121" s="30" t="n">
        <v>13.14</v>
      </c>
      <c r="AR121" s="30" t="s">
        <v>1005</v>
      </c>
      <c r="AS121" s="30" t="n">
        <v>16.32</v>
      </c>
      <c r="AT121" s="30" t="s">
        <v>1005</v>
      </c>
      <c r="AU121" s="30" t="n">
        <v>163.04</v>
      </c>
      <c r="AV121" s="30" t="n">
        <v>0.061</v>
      </c>
      <c r="AW121" s="30" t="s">
        <v>1007</v>
      </c>
      <c r="AX121" s="30" t="s">
        <v>1008</v>
      </c>
      <c r="AY121" s="30" t="n">
        <v>1</v>
      </c>
      <c r="AZ121" s="30"/>
    </row>
    <row collapsed="false" customFormat="true" customHeight="true" hidden="false" ht="33" outlineLevel="0" r="122" s="73">
      <c r="A122" s="30" t="n">
        <v>121</v>
      </c>
      <c r="B122" s="30" t="s">
        <v>220</v>
      </c>
      <c r="C122" s="30" t="s">
        <v>1009</v>
      </c>
      <c r="D122" s="30" t="s">
        <v>999</v>
      </c>
      <c r="E122" s="30" t="s">
        <v>1010</v>
      </c>
      <c r="F122" s="30" t="s">
        <v>1011</v>
      </c>
      <c r="G122" s="30" t="s">
        <v>1002</v>
      </c>
      <c r="H122" s="30" t="s">
        <v>1003</v>
      </c>
      <c r="I122" s="30" t="n">
        <v>1</v>
      </c>
      <c r="J122" s="30"/>
      <c r="K122" s="30"/>
      <c r="L122" s="30"/>
      <c r="M122" s="30" t="s">
        <v>1004</v>
      </c>
      <c r="N122" s="30" t="s">
        <v>54</v>
      </c>
      <c r="O122" s="30"/>
      <c r="P122" s="30"/>
      <c r="Q122" s="30"/>
      <c r="R122" s="30"/>
      <c r="S122" s="30"/>
      <c r="T122" s="30"/>
      <c r="U122" s="30" t="n">
        <v>85.89</v>
      </c>
      <c r="V122" s="30" t="n">
        <v>164.39</v>
      </c>
      <c r="W122" s="30" t="n">
        <v>34.23</v>
      </c>
      <c r="X122" s="30" t="s">
        <v>1005</v>
      </c>
      <c r="Y122" s="30" t="n">
        <v>15.37</v>
      </c>
      <c r="Z122" s="30" t="s">
        <v>1006</v>
      </c>
      <c r="AA122" s="30" t="n">
        <v>15.37</v>
      </c>
      <c r="AB122" s="30" t="s">
        <v>1006</v>
      </c>
      <c r="AC122" s="30" t="n">
        <v>10.18</v>
      </c>
      <c r="AD122" s="30" t="s">
        <v>1006</v>
      </c>
      <c r="AE122" s="30" t="n">
        <v>4.75</v>
      </c>
      <c r="AF122" s="30" t="s">
        <v>1005</v>
      </c>
      <c r="AG122" s="30" t="n">
        <v>0</v>
      </c>
      <c r="AH122" s="30" t="s">
        <v>1005</v>
      </c>
      <c r="AI122" s="30" t="n">
        <v>0</v>
      </c>
      <c r="AJ122" s="30" t="s">
        <v>1005</v>
      </c>
      <c r="AK122" s="30" t="n">
        <v>0</v>
      </c>
      <c r="AL122" s="30" t="s">
        <v>1005</v>
      </c>
      <c r="AM122" s="30" t="n">
        <v>0</v>
      </c>
      <c r="AN122" s="30" t="s">
        <v>1005</v>
      </c>
      <c r="AO122" s="30" t="n">
        <v>10.32</v>
      </c>
      <c r="AP122" s="30" t="s">
        <v>1005</v>
      </c>
      <c r="AQ122" s="30" t="n">
        <v>10.6</v>
      </c>
      <c r="AR122" s="30" t="s">
        <v>1005</v>
      </c>
      <c r="AS122" s="30" t="n">
        <v>16.96</v>
      </c>
      <c r="AT122" s="30" t="s">
        <v>1005</v>
      </c>
      <c r="AU122" s="30" t="n">
        <v>117.78</v>
      </c>
      <c r="AV122" s="30" t="n">
        <v>0.067</v>
      </c>
      <c r="AW122" s="30" t="s">
        <v>1007</v>
      </c>
      <c r="AX122" s="30" t="s">
        <v>1008</v>
      </c>
      <c r="AY122" s="30" t="n">
        <v>1</v>
      </c>
      <c r="AZ122" s="30"/>
    </row>
    <row collapsed="false" customFormat="true" customHeight="true" hidden="false" ht="33" outlineLevel="0" r="123" s="73">
      <c r="A123" s="30" t="n">
        <v>122</v>
      </c>
      <c r="B123" s="30" t="s">
        <v>221</v>
      </c>
      <c r="C123" s="30" t="s">
        <v>1009</v>
      </c>
      <c r="D123" s="30" t="s">
        <v>999</v>
      </c>
      <c r="E123" s="30" t="s">
        <v>1010</v>
      </c>
      <c r="F123" s="30" t="s">
        <v>1011</v>
      </c>
      <c r="G123" s="30" t="s">
        <v>1002</v>
      </c>
      <c r="H123" s="30" t="s">
        <v>1003</v>
      </c>
      <c r="I123" s="30" t="n">
        <v>1</v>
      </c>
      <c r="J123" s="30"/>
      <c r="K123" s="30"/>
      <c r="L123" s="30"/>
      <c r="M123" s="30" t="s">
        <v>1004</v>
      </c>
      <c r="N123" s="30" t="s">
        <v>54</v>
      </c>
      <c r="O123" s="30"/>
      <c r="P123" s="30"/>
      <c r="Q123" s="30"/>
      <c r="R123" s="30"/>
      <c r="S123" s="30"/>
      <c r="T123" s="30"/>
      <c r="U123" s="30" t="n">
        <v>136.77</v>
      </c>
      <c r="V123" s="30" t="n">
        <v>189.69</v>
      </c>
      <c r="W123" s="30" t="n">
        <v>37.78</v>
      </c>
      <c r="X123" s="30" t="s">
        <v>1005</v>
      </c>
      <c r="Y123" s="30" t="n">
        <v>24.62</v>
      </c>
      <c r="Z123" s="30" t="s">
        <v>1005</v>
      </c>
      <c r="AA123" s="30" t="n">
        <v>35.28</v>
      </c>
      <c r="AB123" s="30" t="s">
        <v>1005</v>
      </c>
      <c r="AC123" s="30" t="n">
        <v>13.14</v>
      </c>
      <c r="AD123" s="30" t="s">
        <v>1005</v>
      </c>
      <c r="AE123" s="30" t="n">
        <v>8.72</v>
      </c>
      <c r="AF123" s="30" t="s">
        <v>1005</v>
      </c>
      <c r="AG123" s="30" t="n">
        <v>0</v>
      </c>
      <c r="AH123" s="30" t="s">
        <v>1005</v>
      </c>
      <c r="AI123" s="30" t="n">
        <v>0</v>
      </c>
      <c r="AJ123" s="30" t="s">
        <v>1005</v>
      </c>
      <c r="AK123" s="30" t="n">
        <v>0</v>
      </c>
      <c r="AL123" s="30" t="s">
        <v>1005</v>
      </c>
      <c r="AM123" s="30" t="n">
        <v>0</v>
      </c>
      <c r="AN123" s="30" t="s">
        <v>1005</v>
      </c>
      <c r="AO123" s="30" t="n">
        <v>15.98</v>
      </c>
      <c r="AP123" s="30" t="s">
        <v>1005</v>
      </c>
      <c r="AQ123" s="30" t="n">
        <v>15.4</v>
      </c>
      <c r="AR123" s="30" t="s">
        <v>1005</v>
      </c>
      <c r="AS123" s="30" t="n">
        <v>12.87</v>
      </c>
      <c r="AT123" s="30" t="s">
        <v>1005</v>
      </c>
      <c r="AU123" s="30" t="n">
        <v>163.79</v>
      </c>
      <c r="AV123" s="30" t="n">
        <v>0.083</v>
      </c>
      <c r="AW123" s="30" t="s">
        <v>1007</v>
      </c>
      <c r="AX123" s="30" t="s">
        <v>1008</v>
      </c>
      <c r="AY123" s="30" t="n">
        <v>1</v>
      </c>
      <c r="AZ123" s="30"/>
    </row>
    <row collapsed="false" customFormat="true" customHeight="true" hidden="false" ht="33" outlineLevel="0" r="124" s="73">
      <c r="A124" s="30" t="n">
        <v>124</v>
      </c>
      <c r="B124" s="30" t="s">
        <v>223</v>
      </c>
      <c r="C124" s="30" t="s">
        <v>1009</v>
      </c>
      <c r="D124" s="30" t="s">
        <v>999</v>
      </c>
      <c r="E124" s="30" t="s">
        <v>1000</v>
      </c>
      <c r="F124" s="30" t="s">
        <v>1011</v>
      </c>
      <c r="G124" s="30" t="s">
        <v>1002</v>
      </c>
      <c r="H124" s="30" t="s">
        <v>1003</v>
      </c>
      <c r="I124" s="30" t="n">
        <v>2</v>
      </c>
      <c r="J124" s="30"/>
      <c r="K124" s="30"/>
      <c r="L124" s="30"/>
      <c r="M124" s="30" t="s">
        <v>1004</v>
      </c>
      <c r="N124" s="30" t="s">
        <v>53</v>
      </c>
      <c r="O124" s="30"/>
      <c r="P124" s="30"/>
      <c r="Q124" s="30"/>
      <c r="R124" s="30"/>
      <c r="S124" s="30"/>
      <c r="T124" s="30"/>
      <c r="U124" s="30" t="n">
        <v>885.57</v>
      </c>
      <c r="V124" s="30" t="n">
        <v>1154.016</v>
      </c>
      <c r="W124" s="30" t="n">
        <v>149.47</v>
      </c>
      <c r="X124" s="30" t="s">
        <v>1005</v>
      </c>
      <c r="Y124" s="30" t="n">
        <v>110.02</v>
      </c>
      <c r="Z124" s="30" t="s">
        <v>1005</v>
      </c>
      <c r="AA124" s="30" t="n">
        <v>135.52</v>
      </c>
      <c r="AB124" s="30" t="s">
        <v>1005</v>
      </c>
      <c r="AC124" s="30" t="n">
        <v>63.54</v>
      </c>
      <c r="AD124" s="30" t="s">
        <v>1005</v>
      </c>
      <c r="AE124" s="30" t="n">
        <v>44.22</v>
      </c>
      <c r="AF124" s="30" t="s">
        <v>1005</v>
      </c>
      <c r="AG124" s="30" t="n">
        <v>35.7</v>
      </c>
      <c r="AH124" s="30" t="s">
        <v>1005</v>
      </c>
      <c r="AI124" s="30" t="n">
        <v>20.18</v>
      </c>
      <c r="AJ124" s="30" t="s">
        <v>1005</v>
      </c>
      <c r="AK124" s="30" t="n">
        <v>25.04</v>
      </c>
      <c r="AL124" s="30" t="s">
        <v>1005</v>
      </c>
      <c r="AM124" s="30" t="n">
        <v>28.87</v>
      </c>
      <c r="AN124" s="30" t="s">
        <v>1005</v>
      </c>
      <c r="AO124" s="30" t="n">
        <v>73.55</v>
      </c>
      <c r="AP124" s="30" t="s">
        <v>1005</v>
      </c>
      <c r="AQ124" s="30" t="n">
        <v>73.14</v>
      </c>
      <c r="AR124" s="30" t="s">
        <v>1005</v>
      </c>
      <c r="AS124" s="30" t="n">
        <v>94.96</v>
      </c>
      <c r="AT124" s="30" t="s">
        <v>1005</v>
      </c>
      <c r="AU124" s="30" t="n">
        <v>854.21</v>
      </c>
      <c r="AV124" s="30" t="n">
        <v>0.228</v>
      </c>
      <c r="AW124" s="30" t="s">
        <v>1007</v>
      </c>
      <c r="AX124" s="30" t="s">
        <v>1008</v>
      </c>
      <c r="AY124" s="30" t="n">
        <v>1</v>
      </c>
      <c r="AZ124" s="30"/>
    </row>
    <row collapsed="false" customFormat="true" customHeight="true" hidden="false" ht="33" outlineLevel="0" r="125" s="73">
      <c r="A125" s="30" t="n">
        <v>125</v>
      </c>
      <c r="B125" s="30" t="s">
        <v>225</v>
      </c>
      <c r="C125" s="30" t="s">
        <v>1009</v>
      </c>
      <c r="D125" s="30" t="s">
        <v>999</v>
      </c>
      <c r="E125" s="30" t="s">
        <v>1000</v>
      </c>
      <c r="F125" s="30" t="s">
        <v>1014</v>
      </c>
      <c r="G125" s="30" t="s">
        <v>1002</v>
      </c>
      <c r="H125" s="30" t="s">
        <v>1003</v>
      </c>
      <c r="I125" s="30" t="n">
        <v>1</v>
      </c>
      <c r="J125" s="30"/>
      <c r="K125" s="30" t="n">
        <v>65</v>
      </c>
      <c r="L125" s="30" t="n">
        <v>6</v>
      </c>
      <c r="M125" s="30" t="s">
        <v>1004</v>
      </c>
      <c r="N125" s="30" t="s">
        <v>54</v>
      </c>
      <c r="O125" s="30"/>
      <c r="P125" s="30"/>
      <c r="Q125" s="30"/>
      <c r="R125" s="30"/>
      <c r="S125" s="30"/>
      <c r="T125" s="30"/>
      <c r="U125" s="30" t="n">
        <v>310.18</v>
      </c>
      <c r="V125" s="30" t="n">
        <v>325.37</v>
      </c>
      <c r="W125" s="30" t="n">
        <v>81.54</v>
      </c>
      <c r="X125" s="30" t="s">
        <v>1005</v>
      </c>
      <c r="Y125" s="30" t="n">
        <v>48.81</v>
      </c>
      <c r="Z125" s="30" t="s">
        <v>1005</v>
      </c>
      <c r="AA125" s="30" t="n">
        <v>53.83</v>
      </c>
      <c r="AB125" s="30" t="s">
        <v>1005</v>
      </c>
      <c r="AC125" s="30" t="n">
        <v>17.98</v>
      </c>
      <c r="AD125" s="30" t="s">
        <v>1005</v>
      </c>
      <c r="AE125" s="30" t="n">
        <v>14.17</v>
      </c>
      <c r="AF125" s="30" t="s">
        <v>1005</v>
      </c>
      <c r="AG125" s="30" t="n">
        <v>0</v>
      </c>
      <c r="AH125" s="30" t="s">
        <v>1006</v>
      </c>
      <c r="AI125" s="30" t="n">
        <v>0</v>
      </c>
      <c r="AJ125" s="30" t="s">
        <v>1006</v>
      </c>
      <c r="AK125" s="30" t="n">
        <v>0</v>
      </c>
      <c r="AL125" s="30" t="s">
        <v>1006</v>
      </c>
      <c r="AM125" s="30" t="n">
        <v>0</v>
      </c>
      <c r="AN125" s="30" t="s">
        <v>1005</v>
      </c>
      <c r="AO125" s="30" t="n">
        <v>22.91</v>
      </c>
      <c r="AP125" s="30" t="s">
        <v>1005</v>
      </c>
      <c r="AQ125" s="30" t="n">
        <v>25.71</v>
      </c>
      <c r="AR125" s="30" t="s">
        <v>1005</v>
      </c>
      <c r="AS125" s="30" t="n">
        <v>33.59</v>
      </c>
      <c r="AT125" s="30" t="s">
        <v>1005</v>
      </c>
      <c r="AU125" s="30" t="n">
        <v>298.54</v>
      </c>
      <c r="AV125" s="30" t="n">
        <v>0.17259</v>
      </c>
      <c r="AW125" s="30" t="s">
        <v>1007</v>
      </c>
      <c r="AX125" s="30" t="s">
        <v>1008</v>
      </c>
      <c r="AY125" s="30" t="n">
        <v>1</v>
      </c>
      <c r="AZ125" s="30"/>
    </row>
    <row collapsed="false" customFormat="true" customHeight="true" hidden="false" ht="33" outlineLevel="0" r="126" s="73">
      <c r="A126" s="30" t="n">
        <v>126</v>
      </c>
      <c r="B126" s="30" t="s">
        <v>226</v>
      </c>
      <c r="C126" s="30" t="s">
        <v>1009</v>
      </c>
      <c r="D126" s="30" t="s">
        <v>999</v>
      </c>
      <c r="E126" s="30" t="s">
        <v>1000</v>
      </c>
      <c r="F126" s="30" t="s">
        <v>1014</v>
      </c>
      <c r="G126" s="30" t="s">
        <v>1002</v>
      </c>
      <c r="H126" s="30" t="s">
        <v>1003</v>
      </c>
      <c r="I126" s="30" t="n">
        <v>1</v>
      </c>
      <c r="J126" s="30"/>
      <c r="K126" s="30" t="n">
        <v>80</v>
      </c>
      <c r="L126" s="30" t="n">
        <v>9</v>
      </c>
      <c r="M126" s="30" t="s">
        <v>1004</v>
      </c>
      <c r="N126" s="30" t="s">
        <v>53</v>
      </c>
      <c r="O126" s="30"/>
      <c r="P126" s="30"/>
      <c r="Q126" s="30"/>
      <c r="R126" s="30"/>
      <c r="S126" s="30"/>
      <c r="T126" s="30"/>
      <c r="U126" s="30" t="n">
        <v>429.41</v>
      </c>
      <c r="V126" s="30" t="n">
        <v>450.79</v>
      </c>
      <c r="W126" s="30" t="n">
        <v>83.08</v>
      </c>
      <c r="X126" s="30" t="s">
        <v>1005</v>
      </c>
      <c r="Y126" s="30" t="n">
        <v>55.07</v>
      </c>
      <c r="Z126" s="30" t="s">
        <v>1005</v>
      </c>
      <c r="AA126" s="30" t="n">
        <v>74.69</v>
      </c>
      <c r="AB126" s="30" t="s">
        <v>1005</v>
      </c>
      <c r="AC126" s="30" t="n">
        <v>26.4</v>
      </c>
      <c r="AD126" s="30" t="s">
        <v>1005</v>
      </c>
      <c r="AE126" s="30" t="n">
        <v>17.07</v>
      </c>
      <c r="AF126" s="30" t="s">
        <v>1005</v>
      </c>
      <c r="AG126" s="30" t="n">
        <v>0</v>
      </c>
      <c r="AH126" s="30" t="s">
        <v>1006</v>
      </c>
      <c r="AI126" s="30" t="n">
        <v>0</v>
      </c>
      <c r="AJ126" s="30" t="s">
        <v>1006</v>
      </c>
      <c r="AK126" s="30" t="n">
        <v>0</v>
      </c>
      <c r="AL126" s="30" t="s">
        <v>1006</v>
      </c>
      <c r="AM126" s="30" t="n">
        <v>0</v>
      </c>
      <c r="AN126" s="30" t="s">
        <v>1005</v>
      </c>
      <c r="AO126" s="30" t="n">
        <v>20.45</v>
      </c>
      <c r="AP126" s="30" t="s">
        <v>1005</v>
      </c>
      <c r="AQ126" s="30" t="n">
        <v>40.51</v>
      </c>
      <c r="AR126" s="30" t="s">
        <v>1005</v>
      </c>
      <c r="AS126" s="30" t="n">
        <v>53.49</v>
      </c>
      <c r="AT126" s="30" t="s">
        <v>1005</v>
      </c>
      <c r="AU126" s="30" t="n">
        <v>370.76</v>
      </c>
      <c r="AV126" s="30" t="n">
        <v>0.24082</v>
      </c>
      <c r="AW126" s="30" t="s">
        <v>1007</v>
      </c>
      <c r="AX126" s="30" t="s">
        <v>1008</v>
      </c>
      <c r="AY126" s="30" t="n">
        <v>1</v>
      </c>
      <c r="AZ126" s="30"/>
    </row>
    <row collapsed="false" customFormat="true" customHeight="true" hidden="false" ht="33" outlineLevel="0" r="127" s="73">
      <c r="A127" s="30" t="n">
        <v>127</v>
      </c>
      <c r="B127" s="30" t="s">
        <v>227</v>
      </c>
      <c r="C127" s="30" t="s">
        <v>1009</v>
      </c>
      <c r="D127" s="30" t="s">
        <v>999</v>
      </c>
      <c r="E127" s="30" t="s">
        <v>1000</v>
      </c>
      <c r="F127" s="30" t="s">
        <v>1014</v>
      </c>
      <c r="G127" s="30" t="s">
        <v>1002</v>
      </c>
      <c r="H127" s="30" t="s">
        <v>1003</v>
      </c>
      <c r="I127" s="30" t="n">
        <v>1</v>
      </c>
      <c r="J127" s="30"/>
      <c r="K127" s="30" t="n">
        <v>100</v>
      </c>
      <c r="L127" s="30" t="n">
        <v>10</v>
      </c>
      <c r="M127" s="30" t="s">
        <v>1004</v>
      </c>
      <c r="N127" s="30" t="s">
        <v>54</v>
      </c>
      <c r="O127" s="30"/>
      <c r="P127" s="30"/>
      <c r="Q127" s="30"/>
      <c r="R127" s="30"/>
      <c r="S127" s="30"/>
      <c r="T127" s="30"/>
      <c r="U127" s="30" t="n">
        <v>817.56</v>
      </c>
      <c r="V127" s="30" t="n">
        <v>914.04</v>
      </c>
      <c r="W127" s="30" t="n">
        <v>164.03</v>
      </c>
      <c r="X127" s="30" t="s">
        <v>1005</v>
      </c>
      <c r="Y127" s="30" t="n">
        <v>133.12</v>
      </c>
      <c r="Z127" s="30" t="s">
        <v>1005</v>
      </c>
      <c r="AA127" s="30" t="n">
        <v>149.25</v>
      </c>
      <c r="AB127" s="30" t="s">
        <v>1005</v>
      </c>
      <c r="AC127" s="30" t="n">
        <v>50.82</v>
      </c>
      <c r="AD127" s="30" t="s">
        <v>1005</v>
      </c>
      <c r="AE127" s="30" t="n">
        <v>32.37</v>
      </c>
      <c r="AF127" s="30" t="s">
        <v>1005</v>
      </c>
      <c r="AG127" s="30" t="n">
        <v>0</v>
      </c>
      <c r="AH127" s="30" t="s">
        <v>1006</v>
      </c>
      <c r="AI127" s="30" t="n">
        <v>0</v>
      </c>
      <c r="AJ127" s="30" t="s">
        <v>1006</v>
      </c>
      <c r="AK127" s="30" t="n">
        <v>0</v>
      </c>
      <c r="AL127" s="30" t="s">
        <v>1006</v>
      </c>
      <c r="AM127" s="30" t="n">
        <v>0</v>
      </c>
      <c r="AN127" s="30" t="s">
        <v>1005</v>
      </c>
      <c r="AO127" s="30" t="n">
        <v>69.83</v>
      </c>
      <c r="AP127" s="30" t="s">
        <v>1005</v>
      </c>
      <c r="AQ127" s="30" t="n">
        <v>80.28</v>
      </c>
      <c r="AR127" s="30" t="s">
        <v>1005</v>
      </c>
      <c r="AS127" s="30" t="n">
        <v>104.91</v>
      </c>
      <c r="AT127" s="30" t="s">
        <v>1005</v>
      </c>
      <c r="AU127" s="30" t="n">
        <v>784.61</v>
      </c>
      <c r="AV127" s="30" t="n">
        <v>0.42054</v>
      </c>
      <c r="AW127" s="30" t="s">
        <v>1007</v>
      </c>
      <c r="AX127" s="30" t="s">
        <v>1008</v>
      </c>
      <c r="AY127" s="30" t="n">
        <v>1</v>
      </c>
      <c r="AZ127" s="30"/>
    </row>
    <row collapsed="false" customFormat="true" customHeight="true" hidden="false" ht="33" outlineLevel="0" r="128" s="73">
      <c r="A128" s="30" t="n">
        <v>128</v>
      </c>
      <c r="B128" s="30" t="s">
        <v>228</v>
      </c>
      <c r="C128" s="30" t="s">
        <v>1009</v>
      </c>
      <c r="D128" s="30" t="s">
        <v>999</v>
      </c>
      <c r="E128" s="30" t="s">
        <v>1000</v>
      </c>
      <c r="F128" s="30" t="s">
        <v>1014</v>
      </c>
      <c r="G128" s="30" t="s">
        <v>1002</v>
      </c>
      <c r="H128" s="30" t="s">
        <v>1003</v>
      </c>
      <c r="I128" s="30" t="n">
        <v>1</v>
      </c>
      <c r="J128" s="30"/>
      <c r="K128" s="30" t="n">
        <v>80</v>
      </c>
      <c r="L128" s="30" t="n">
        <v>7</v>
      </c>
      <c r="M128" s="30" t="s">
        <v>1004</v>
      </c>
      <c r="N128" s="30" t="s">
        <v>54</v>
      </c>
      <c r="O128" s="30"/>
      <c r="P128" s="30"/>
      <c r="Q128" s="30"/>
      <c r="R128" s="30"/>
      <c r="S128" s="30"/>
      <c r="T128" s="30"/>
      <c r="U128" s="30" t="n">
        <v>789.85</v>
      </c>
      <c r="V128" s="30" t="n">
        <v>869.03</v>
      </c>
      <c r="W128" s="30" t="n">
        <v>163.15</v>
      </c>
      <c r="X128" s="30" t="s">
        <v>1005</v>
      </c>
      <c r="Y128" s="30" t="n">
        <v>131.95</v>
      </c>
      <c r="Z128" s="30" t="s">
        <v>1005</v>
      </c>
      <c r="AA128" s="30" t="n">
        <v>147.41</v>
      </c>
      <c r="AB128" s="30" t="s">
        <v>1005</v>
      </c>
      <c r="AC128" s="30" t="n">
        <v>50.06</v>
      </c>
      <c r="AD128" s="30" t="s">
        <v>1005</v>
      </c>
      <c r="AE128" s="30" t="n">
        <v>32.21</v>
      </c>
      <c r="AF128" s="30" t="s">
        <v>1005</v>
      </c>
      <c r="AG128" s="30" t="n">
        <v>0</v>
      </c>
      <c r="AH128" s="30" t="s">
        <v>1006</v>
      </c>
      <c r="AI128" s="30" t="n">
        <v>0</v>
      </c>
      <c r="AJ128" s="30" t="s">
        <v>1006</v>
      </c>
      <c r="AK128" s="30" t="n">
        <v>0</v>
      </c>
      <c r="AL128" s="30" t="s">
        <v>1006</v>
      </c>
      <c r="AM128" s="30" t="n">
        <v>0</v>
      </c>
      <c r="AN128" s="30" t="s">
        <v>1005</v>
      </c>
      <c r="AO128" s="30" t="n">
        <v>94.8</v>
      </c>
      <c r="AP128" s="30" t="s">
        <v>1006</v>
      </c>
      <c r="AQ128" s="30" t="n">
        <v>94.8</v>
      </c>
      <c r="AR128" s="30" t="s">
        <v>1006</v>
      </c>
      <c r="AS128" s="30" t="n">
        <v>94.8</v>
      </c>
      <c r="AT128" s="30" t="s">
        <v>1006</v>
      </c>
      <c r="AU128" s="30" t="n">
        <v>809.18</v>
      </c>
      <c r="AV128" s="30" t="n">
        <v>0.33924</v>
      </c>
      <c r="AW128" s="30" t="s">
        <v>1007</v>
      </c>
      <c r="AX128" s="30" t="s">
        <v>1008</v>
      </c>
      <c r="AY128" s="30" t="n">
        <v>1</v>
      </c>
      <c r="AZ128" s="30"/>
    </row>
    <row collapsed="false" customFormat="true" customHeight="true" hidden="false" ht="33" outlineLevel="0" r="129" s="73">
      <c r="A129" s="30" t="n">
        <v>129</v>
      </c>
      <c r="B129" s="30" t="s">
        <v>229</v>
      </c>
      <c r="C129" s="30" t="s">
        <v>1009</v>
      </c>
      <c r="D129" s="30" t="s">
        <v>999</v>
      </c>
      <c r="E129" s="30" t="s">
        <v>1000</v>
      </c>
      <c r="F129" s="30" t="s">
        <v>1014</v>
      </c>
      <c r="G129" s="30" t="s">
        <v>1002</v>
      </c>
      <c r="H129" s="30" t="s">
        <v>1003</v>
      </c>
      <c r="I129" s="30" t="n">
        <v>1</v>
      </c>
      <c r="J129" s="30"/>
      <c r="K129" s="30" t="n">
        <v>80</v>
      </c>
      <c r="L129" s="30" t="n">
        <v>7</v>
      </c>
      <c r="M129" s="30" t="s">
        <v>1004</v>
      </c>
      <c r="N129" s="30" t="s">
        <v>53</v>
      </c>
      <c r="O129" s="30"/>
      <c r="P129" s="30"/>
      <c r="Q129" s="30"/>
      <c r="R129" s="30"/>
      <c r="S129" s="30"/>
      <c r="T129" s="30"/>
      <c r="U129" s="30" t="n">
        <v>695.22</v>
      </c>
      <c r="V129" s="30" t="n">
        <v>635.65</v>
      </c>
      <c r="W129" s="30" t="n">
        <v>112.38</v>
      </c>
      <c r="X129" s="30" t="s">
        <v>1005</v>
      </c>
      <c r="Y129" s="30" t="n">
        <v>104.3</v>
      </c>
      <c r="Z129" s="30" t="s">
        <v>1005</v>
      </c>
      <c r="AA129" s="30" t="n">
        <v>116.45</v>
      </c>
      <c r="AB129" s="30" t="s">
        <v>1005</v>
      </c>
      <c r="AC129" s="30" t="n">
        <v>41.44</v>
      </c>
      <c r="AD129" s="30" t="s">
        <v>1005</v>
      </c>
      <c r="AE129" s="30" t="n">
        <v>26.75</v>
      </c>
      <c r="AF129" s="30" t="s">
        <v>1005</v>
      </c>
      <c r="AG129" s="30" t="n">
        <v>0</v>
      </c>
      <c r="AH129" s="30" t="s">
        <v>1006</v>
      </c>
      <c r="AI129" s="30" t="n">
        <v>0</v>
      </c>
      <c r="AJ129" s="30" t="s">
        <v>1006</v>
      </c>
      <c r="AK129" s="30" t="n">
        <v>0</v>
      </c>
      <c r="AL129" s="30" t="s">
        <v>1006</v>
      </c>
      <c r="AM129" s="30" t="n">
        <v>0</v>
      </c>
      <c r="AN129" s="30" t="s">
        <v>1005</v>
      </c>
      <c r="AO129" s="30" t="n">
        <v>55.73</v>
      </c>
      <c r="AP129" s="30" t="s">
        <v>1005</v>
      </c>
      <c r="AQ129" s="30" t="n">
        <v>63.15</v>
      </c>
      <c r="AR129" s="30" t="s">
        <v>1005</v>
      </c>
      <c r="AS129" s="30" t="n">
        <v>82.35</v>
      </c>
      <c r="AT129" s="30" t="s">
        <v>1005</v>
      </c>
      <c r="AU129" s="30" t="n">
        <v>602.55</v>
      </c>
      <c r="AV129" s="30" t="n">
        <v>0.24283</v>
      </c>
      <c r="AW129" s="30" t="s">
        <v>1007</v>
      </c>
      <c r="AX129" s="30" t="s">
        <v>1008</v>
      </c>
      <c r="AY129" s="30" t="n">
        <v>1</v>
      </c>
      <c r="AZ129" s="30"/>
    </row>
    <row collapsed="false" customFormat="true" customHeight="true" hidden="false" ht="33" outlineLevel="0" r="130" s="73">
      <c r="A130" s="30" t="n">
        <v>130</v>
      </c>
      <c r="B130" s="30" t="s">
        <v>231</v>
      </c>
      <c r="C130" s="30" t="s">
        <v>1009</v>
      </c>
      <c r="D130" s="30" t="s">
        <v>999</v>
      </c>
      <c r="E130" s="30" t="s">
        <v>1000</v>
      </c>
      <c r="F130" s="30" t="s">
        <v>1014</v>
      </c>
      <c r="G130" s="30" t="s">
        <v>1002</v>
      </c>
      <c r="H130" s="30" t="s">
        <v>1003</v>
      </c>
      <c r="I130" s="30" t="n">
        <v>1</v>
      </c>
      <c r="J130" s="30"/>
      <c r="K130" s="30" t="n">
        <v>80</v>
      </c>
      <c r="L130" s="30" t="n">
        <v>7</v>
      </c>
      <c r="M130" s="30" t="s">
        <v>1004</v>
      </c>
      <c r="N130" s="30" t="s">
        <v>54</v>
      </c>
      <c r="O130" s="30"/>
      <c r="P130" s="30"/>
      <c r="Q130" s="30"/>
      <c r="R130" s="30"/>
      <c r="S130" s="30"/>
      <c r="T130" s="30"/>
      <c r="U130" s="30" t="n">
        <v>878.73</v>
      </c>
      <c r="V130" s="30" t="n">
        <v>816.8</v>
      </c>
      <c r="W130" s="30" t="n">
        <v>175.98</v>
      </c>
      <c r="X130" s="30" t="s">
        <v>1005</v>
      </c>
      <c r="Y130" s="30" t="n">
        <v>111.12</v>
      </c>
      <c r="Z130" s="30" t="s">
        <v>1005</v>
      </c>
      <c r="AA130" s="30" t="n">
        <v>136.56</v>
      </c>
      <c r="AB130" s="30" t="s">
        <v>1005</v>
      </c>
      <c r="AC130" s="30" t="n">
        <v>41.64</v>
      </c>
      <c r="AD130" s="30" t="s">
        <v>1005</v>
      </c>
      <c r="AE130" s="30" t="n">
        <v>31.33</v>
      </c>
      <c r="AF130" s="30" t="s">
        <v>1005</v>
      </c>
      <c r="AG130" s="30" t="n">
        <v>0</v>
      </c>
      <c r="AH130" s="30" t="s">
        <v>1006</v>
      </c>
      <c r="AI130" s="30" t="n">
        <v>0</v>
      </c>
      <c r="AJ130" s="30" t="s">
        <v>1006</v>
      </c>
      <c r="AK130" s="30" t="n">
        <v>0</v>
      </c>
      <c r="AL130" s="30" t="s">
        <v>1006</v>
      </c>
      <c r="AM130" s="30" t="n">
        <v>0</v>
      </c>
      <c r="AN130" s="30" t="s">
        <v>1005</v>
      </c>
      <c r="AO130" s="30" t="n">
        <v>66.6</v>
      </c>
      <c r="AP130" s="30" t="s">
        <v>1005</v>
      </c>
      <c r="AQ130" s="30" t="n">
        <v>75.84</v>
      </c>
      <c r="AR130" s="30" t="s">
        <v>1005</v>
      </c>
      <c r="AS130" s="30" t="n">
        <v>99.63</v>
      </c>
      <c r="AT130" s="30" t="s">
        <v>1005</v>
      </c>
      <c r="AU130" s="30" t="n">
        <v>738.7</v>
      </c>
      <c r="AV130" s="30" t="n">
        <v>0.42957</v>
      </c>
      <c r="AW130" s="30" t="s">
        <v>1007</v>
      </c>
      <c r="AX130" s="30" t="s">
        <v>1008</v>
      </c>
      <c r="AY130" s="30" t="n">
        <v>1</v>
      </c>
      <c r="AZ130" s="30"/>
    </row>
    <row collapsed="false" customFormat="true" customHeight="true" hidden="false" ht="33" outlineLevel="0" r="131" s="73">
      <c r="A131" s="30" t="n">
        <v>131</v>
      </c>
      <c r="B131" s="30" t="s">
        <v>232</v>
      </c>
      <c r="C131" s="30" t="s">
        <v>1009</v>
      </c>
      <c r="D131" s="30" t="s">
        <v>999</v>
      </c>
      <c r="E131" s="30" t="s">
        <v>1000</v>
      </c>
      <c r="F131" s="30" t="s">
        <v>1014</v>
      </c>
      <c r="G131" s="30" t="s">
        <v>1002</v>
      </c>
      <c r="H131" s="30" t="s">
        <v>1003</v>
      </c>
      <c r="I131" s="30" t="n">
        <v>1</v>
      </c>
      <c r="J131" s="30"/>
      <c r="K131" s="30" t="n">
        <v>80</v>
      </c>
      <c r="L131" s="30" t="n">
        <v>7</v>
      </c>
      <c r="M131" s="30" t="s">
        <v>1004</v>
      </c>
      <c r="N131" s="30" t="s">
        <v>53</v>
      </c>
      <c r="O131" s="30"/>
      <c r="P131" s="30"/>
      <c r="Q131" s="30"/>
      <c r="R131" s="30"/>
      <c r="S131" s="30"/>
      <c r="T131" s="30"/>
      <c r="U131" s="30" t="n">
        <v>724.83</v>
      </c>
      <c r="V131" s="30" t="n">
        <v>649.06</v>
      </c>
      <c r="W131" s="30" t="n">
        <v>106.64</v>
      </c>
      <c r="X131" s="30" t="s">
        <v>1005</v>
      </c>
      <c r="Y131" s="30" t="n">
        <v>98.95</v>
      </c>
      <c r="Z131" s="30" t="s">
        <v>1005</v>
      </c>
      <c r="AA131" s="30" t="n">
        <v>110.51</v>
      </c>
      <c r="AB131" s="30" t="s">
        <v>1005</v>
      </c>
      <c r="AC131" s="30" t="n">
        <v>38.94</v>
      </c>
      <c r="AD131" s="30" t="s">
        <v>1005</v>
      </c>
      <c r="AE131" s="30" t="n">
        <v>25.04</v>
      </c>
      <c r="AF131" s="30" t="s">
        <v>1005</v>
      </c>
      <c r="AG131" s="30" t="n">
        <v>0</v>
      </c>
      <c r="AH131" s="30" t="s">
        <v>1006</v>
      </c>
      <c r="AI131" s="30" t="n">
        <v>0</v>
      </c>
      <c r="AJ131" s="30" t="s">
        <v>1006</v>
      </c>
      <c r="AK131" s="30" t="n">
        <v>0</v>
      </c>
      <c r="AL131" s="30" t="s">
        <v>1006</v>
      </c>
      <c r="AM131" s="30" t="n">
        <v>0</v>
      </c>
      <c r="AN131" s="30" t="s">
        <v>1005</v>
      </c>
      <c r="AO131" s="30" t="n">
        <v>52.07</v>
      </c>
      <c r="AP131" s="30" t="s">
        <v>1005</v>
      </c>
      <c r="AQ131" s="30" t="n">
        <v>59.8</v>
      </c>
      <c r="AR131" s="30" t="s">
        <v>1005</v>
      </c>
      <c r="AS131" s="30" t="n">
        <v>77.7</v>
      </c>
      <c r="AT131" s="30" t="s">
        <v>1005</v>
      </c>
      <c r="AU131" s="30" t="n">
        <v>569.65</v>
      </c>
      <c r="AV131" s="30" t="n">
        <v>0.4123</v>
      </c>
      <c r="AW131" s="30" t="s">
        <v>1007</v>
      </c>
      <c r="AX131" s="30" t="s">
        <v>1008</v>
      </c>
      <c r="AY131" s="30" t="n">
        <v>1</v>
      </c>
      <c r="AZ131" s="30"/>
    </row>
    <row collapsed="false" customFormat="true" customHeight="true" hidden="false" ht="33" outlineLevel="0" r="132" s="73">
      <c r="A132" s="30" t="n">
        <v>132</v>
      </c>
      <c r="B132" s="30" t="s">
        <v>233</v>
      </c>
      <c r="C132" s="30" t="s">
        <v>1009</v>
      </c>
      <c r="D132" s="30" t="s">
        <v>999</v>
      </c>
      <c r="E132" s="30" t="s">
        <v>1000</v>
      </c>
      <c r="F132" s="30" t="s">
        <v>1014</v>
      </c>
      <c r="G132" s="30" t="s">
        <v>1002</v>
      </c>
      <c r="H132" s="30" t="s">
        <v>1003</v>
      </c>
      <c r="I132" s="30" t="n">
        <v>1</v>
      </c>
      <c r="J132" s="30"/>
      <c r="K132" s="30" t="n">
        <v>100</v>
      </c>
      <c r="L132" s="30" t="n">
        <v>9</v>
      </c>
      <c r="M132" s="30" t="s">
        <v>1004</v>
      </c>
      <c r="N132" s="30" t="s">
        <v>54</v>
      </c>
      <c r="O132" s="30"/>
      <c r="P132" s="30"/>
      <c r="Q132" s="30"/>
      <c r="R132" s="30"/>
      <c r="S132" s="30"/>
      <c r="T132" s="30"/>
      <c r="U132" s="30" t="n">
        <v>992.2</v>
      </c>
      <c r="V132" s="30" t="n">
        <v>1035.06</v>
      </c>
      <c r="W132" s="30" t="n">
        <v>194.79</v>
      </c>
      <c r="X132" s="30" t="s">
        <v>1005</v>
      </c>
      <c r="Y132" s="30" t="n">
        <v>156.98</v>
      </c>
      <c r="Z132" s="30" t="s">
        <v>1005</v>
      </c>
      <c r="AA132" s="30" t="n">
        <v>174.51</v>
      </c>
      <c r="AB132" s="30" t="s">
        <v>1005</v>
      </c>
      <c r="AC132" s="30" t="n">
        <v>61.02</v>
      </c>
      <c r="AD132" s="30" t="s">
        <v>1005</v>
      </c>
      <c r="AE132" s="30" t="n">
        <v>38.17</v>
      </c>
      <c r="AF132" s="30" t="s">
        <v>1005</v>
      </c>
      <c r="AG132" s="30" t="n">
        <v>0</v>
      </c>
      <c r="AH132" s="30" t="s">
        <v>1006</v>
      </c>
      <c r="AI132" s="30" t="n">
        <v>0</v>
      </c>
      <c r="AJ132" s="30" t="s">
        <v>1006</v>
      </c>
      <c r="AK132" s="30" t="n">
        <v>0</v>
      </c>
      <c r="AL132" s="30" t="s">
        <v>1006</v>
      </c>
      <c r="AM132" s="30" t="n">
        <v>0</v>
      </c>
      <c r="AN132" s="30" t="s">
        <v>1005</v>
      </c>
      <c r="AO132" s="30" t="n">
        <v>84.56</v>
      </c>
      <c r="AP132" s="30" t="s">
        <v>1005</v>
      </c>
      <c r="AQ132" s="30" t="n">
        <v>94.08</v>
      </c>
      <c r="AR132" s="30" t="s">
        <v>1005</v>
      </c>
      <c r="AS132" s="30" t="n">
        <v>122.94</v>
      </c>
      <c r="AT132" s="30" t="s">
        <v>1005</v>
      </c>
      <c r="AU132" s="30" t="n">
        <v>927.05</v>
      </c>
      <c r="AV132" s="30" t="n">
        <v>0.34526</v>
      </c>
      <c r="AW132" s="30" t="s">
        <v>1007</v>
      </c>
      <c r="AX132" s="30" t="s">
        <v>1008</v>
      </c>
      <c r="AY132" s="30" t="n">
        <v>1</v>
      </c>
      <c r="AZ132" s="30"/>
    </row>
    <row collapsed="false" customFormat="true" customHeight="true" hidden="false" ht="33" outlineLevel="0" r="133" s="73">
      <c r="A133" s="30" t="n">
        <v>133</v>
      </c>
      <c r="B133" s="30" t="s">
        <v>235</v>
      </c>
      <c r="C133" s="30" t="s">
        <v>1009</v>
      </c>
      <c r="D133" s="30" t="s">
        <v>999</v>
      </c>
      <c r="E133" s="30" t="s">
        <v>1010</v>
      </c>
      <c r="F133" s="30" t="s">
        <v>1011</v>
      </c>
      <c r="G133" s="30" t="s">
        <v>1002</v>
      </c>
      <c r="H133" s="30" t="s">
        <v>1003</v>
      </c>
      <c r="I133" s="30" t="n">
        <v>0</v>
      </c>
      <c r="J133" s="30"/>
      <c r="K133" s="30"/>
      <c r="L133" s="30"/>
      <c r="M133" s="30" t="s">
        <v>1004</v>
      </c>
      <c r="N133" s="30" t="s">
        <v>54</v>
      </c>
      <c r="O133" s="30"/>
      <c r="P133" s="30"/>
      <c r="Q133" s="30"/>
      <c r="R133" s="30"/>
      <c r="S133" s="30"/>
      <c r="T133" s="30"/>
      <c r="U133" s="30" t="n">
        <v>126.32</v>
      </c>
      <c r="V133" s="30" t="n">
        <v>126.32</v>
      </c>
      <c r="W133" s="30" t="n">
        <v>14.94</v>
      </c>
      <c r="X133" s="30" t="s">
        <v>1006</v>
      </c>
      <c r="Y133" s="30" t="n">
        <v>14.97</v>
      </c>
      <c r="Z133" s="30" t="s">
        <v>1006</v>
      </c>
      <c r="AA133" s="30" t="n">
        <v>14.97</v>
      </c>
      <c r="AB133" s="30" t="s">
        <v>1006</v>
      </c>
      <c r="AC133" s="30" t="n">
        <v>14.97</v>
      </c>
      <c r="AD133" s="30" t="s">
        <v>1006</v>
      </c>
      <c r="AE133" s="30" t="n">
        <v>4.35</v>
      </c>
      <c r="AF133" s="30" t="s">
        <v>1006</v>
      </c>
      <c r="AG133" s="30" t="n">
        <v>0</v>
      </c>
      <c r="AH133" s="30" t="s">
        <v>1006</v>
      </c>
      <c r="AI133" s="30" t="n">
        <v>0</v>
      </c>
      <c r="AJ133" s="30" t="s">
        <v>1006</v>
      </c>
      <c r="AK133" s="30" t="n">
        <v>0</v>
      </c>
      <c r="AL133" s="30" t="s">
        <v>1006</v>
      </c>
      <c r="AM133" s="30" t="n">
        <v>0</v>
      </c>
      <c r="AN133" s="30" t="s">
        <v>1006</v>
      </c>
      <c r="AO133" s="30" t="n">
        <v>14.56</v>
      </c>
      <c r="AP133" s="30" t="s">
        <v>1006</v>
      </c>
      <c r="AQ133" s="30" t="n">
        <v>14.56</v>
      </c>
      <c r="AR133" s="30" t="s">
        <v>1006</v>
      </c>
      <c r="AS133" s="30" t="n">
        <v>14.56</v>
      </c>
      <c r="AT133" s="30" t="s">
        <v>1006</v>
      </c>
      <c r="AU133" s="30" t="n">
        <v>107.88</v>
      </c>
      <c r="AV133" s="30" t="n">
        <v>0.085</v>
      </c>
      <c r="AW133" s="30" t="s">
        <v>1007</v>
      </c>
      <c r="AX133" s="30" t="s">
        <v>1008</v>
      </c>
      <c r="AY133" s="30"/>
      <c r="AZ133" s="30"/>
    </row>
    <row collapsed="false" customFormat="true" customHeight="true" hidden="false" ht="33" outlineLevel="0" r="134" s="73">
      <c r="A134" s="30" t="n">
        <v>136</v>
      </c>
      <c r="B134" s="30" t="s">
        <v>239</v>
      </c>
      <c r="C134" s="30" t="s">
        <v>1009</v>
      </c>
      <c r="D134" s="30" t="s">
        <v>999</v>
      </c>
      <c r="E134" s="30" t="s">
        <v>1010</v>
      </c>
      <c r="F134" s="30" t="s">
        <v>1011</v>
      </c>
      <c r="G134" s="30" t="s">
        <v>1002</v>
      </c>
      <c r="H134" s="30" t="s">
        <v>1003</v>
      </c>
      <c r="I134" s="30" t="n">
        <v>2</v>
      </c>
      <c r="J134" s="30"/>
      <c r="K134" s="30"/>
      <c r="L134" s="30"/>
      <c r="M134" s="30" t="s">
        <v>1015</v>
      </c>
      <c r="N134" s="30" t="s">
        <v>53</v>
      </c>
      <c r="O134" s="30"/>
      <c r="P134" s="30"/>
      <c r="Q134" s="30"/>
      <c r="R134" s="30"/>
      <c r="S134" s="30"/>
      <c r="T134" s="30"/>
      <c r="U134" s="30" t="n">
        <v>53.48</v>
      </c>
      <c r="V134" s="30" t="n">
        <v>53.48</v>
      </c>
      <c r="W134" s="30" t="n">
        <v>362.62</v>
      </c>
      <c r="X134" s="30" t="s">
        <v>1006</v>
      </c>
      <c r="Y134" s="30" t="n">
        <v>320.86</v>
      </c>
      <c r="Z134" s="30" t="s">
        <v>1006</v>
      </c>
      <c r="AA134" s="30" t="n">
        <v>323.94</v>
      </c>
      <c r="AB134" s="30" t="s">
        <v>1006</v>
      </c>
      <c r="AC134" s="30" t="n">
        <v>326.57</v>
      </c>
      <c r="AD134" s="30" t="s">
        <v>1006</v>
      </c>
      <c r="AE134" s="30" t="n">
        <v>166.54</v>
      </c>
      <c r="AF134" s="30" t="s">
        <v>1006</v>
      </c>
      <c r="AG134" s="30" t="n">
        <v>79.54</v>
      </c>
      <c r="AH134" s="30" t="s">
        <v>1006</v>
      </c>
      <c r="AI134" s="30" t="n">
        <v>40.08</v>
      </c>
      <c r="AJ134" s="30" t="s">
        <v>1006</v>
      </c>
      <c r="AK134" s="30" t="n">
        <v>59.88</v>
      </c>
      <c r="AL134" s="30" t="s">
        <v>1006</v>
      </c>
      <c r="AM134" s="30" t="n">
        <v>117.1</v>
      </c>
      <c r="AN134" s="30" t="s">
        <v>1006</v>
      </c>
      <c r="AO134" s="30" t="n">
        <v>223.07</v>
      </c>
      <c r="AP134" s="30" t="s">
        <v>1005</v>
      </c>
      <c r="AQ134" s="30" t="n">
        <v>260.31</v>
      </c>
      <c r="AR134" s="30" t="s">
        <v>1005</v>
      </c>
      <c r="AS134" s="30" t="n">
        <v>222.6</v>
      </c>
      <c r="AT134" s="30" t="s">
        <v>1005</v>
      </c>
      <c r="AU134" s="30" t="n">
        <v>2503.11</v>
      </c>
      <c r="AV134" s="30" t="n">
        <v>0.69</v>
      </c>
      <c r="AW134" s="30" t="s">
        <v>1016</v>
      </c>
      <c r="AX134" s="30" t="s">
        <v>1008</v>
      </c>
      <c r="AY134" s="30" t="n">
        <v>2</v>
      </c>
      <c r="AZ134" s="30"/>
    </row>
    <row collapsed="false" customFormat="true" customHeight="true" hidden="false" ht="33" outlineLevel="0" r="135" s="73">
      <c r="A135" s="30" t="n">
        <v>137</v>
      </c>
      <c r="B135" s="30" t="s">
        <v>241</v>
      </c>
      <c r="C135" s="30" t="s">
        <v>1009</v>
      </c>
      <c r="D135" s="30" t="s">
        <v>999</v>
      </c>
      <c r="E135" s="30" t="s">
        <v>1010</v>
      </c>
      <c r="F135" s="30" t="s">
        <v>1011</v>
      </c>
      <c r="G135" s="30" t="s">
        <v>1002</v>
      </c>
      <c r="H135" s="30" t="s">
        <v>1003</v>
      </c>
      <c r="I135" s="30" t="n">
        <v>0</v>
      </c>
      <c r="J135" s="30"/>
      <c r="K135" s="30"/>
      <c r="L135" s="30"/>
      <c r="M135" s="30" t="s">
        <v>1015</v>
      </c>
      <c r="N135" s="30" t="s">
        <v>53</v>
      </c>
      <c r="O135" s="30"/>
      <c r="P135" s="30"/>
      <c r="Q135" s="30"/>
      <c r="R135" s="30"/>
      <c r="S135" s="30"/>
      <c r="T135" s="30"/>
      <c r="U135" s="30" t="n">
        <v>334.44</v>
      </c>
      <c r="V135" s="30" t="n">
        <v>334.44</v>
      </c>
      <c r="W135" s="30" t="n">
        <v>250.05</v>
      </c>
      <c r="X135" s="30"/>
      <c r="Y135" s="30" t="n">
        <v>36.12</v>
      </c>
      <c r="Z135" s="30" t="s">
        <v>1006</v>
      </c>
      <c r="AA135" s="30" t="n">
        <v>32.58</v>
      </c>
      <c r="AB135" s="30" t="s">
        <v>1006</v>
      </c>
      <c r="AC135" s="30" t="n">
        <v>31.76</v>
      </c>
      <c r="AD135" s="30" t="s">
        <v>1006</v>
      </c>
      <c r="AE135" s="30" t="n">
        <v>32</v>
      </c>
      <c r="AF135" s="30" t="s">
        <v>1006</v>
      </c>
      <c r="AG135" s="30" t="n">
        <v>16.02</v>
      </c>
      <c r="AH135" s="30" t="s">
        <v>1006</v>
      </c>
      <c r="AI135" s="30" t="n">
        <v>8.34</v>
      </c>
      <c r="AJ135" s="30" t="s">
        <v>1006</v>
      </c>
      <c r="AK135" s="30" t="n">
        <v>7.28</v>
      </c>
      <c r="AL135" s="30" t="s">
        <v>1006</v>
      </c>
      <c r="AM135" s="30" t="n">
        <v>6.63</v>
      </c>
      <c r="AN135" s="30" t="s">
        <v>1006</v>
      </c>
      <c r="AO135" s="30" t="n">
        <v>12.25</v>
      </c>
      <c r="AP135" s="30" t="s">
        <v>1006</v>
      </c>
      <c r="AQ135" s="30" t="n">
        <v>27.52</v>
      </c>
      <c r="AR135" s="30" t="s">
        <v>1006</v>
      </c>
      <c r="AS135" s="30" t="n">
        <v>27.67</v>
      </c>
      <c r="AT135" s="30" t="s">
        <v>1006</v>
      </c>
      <c r="AU135" s="30" t="n">
        <v>27.34</v>
      </c>
      <c r="AV135" s="30" t="n">
        <v>0.088</v>
      </c>
      <c r="AW135" s="30" t="s">
        <v>1016</v>
      </c>
      <c r="AX135" s="30" t="s">
        <v>1008</v>
      </c>
      <c r="AY135" s="30" t="n">
        <v>1</v>
      </c>
      <c r="AZ135" s="30"/>
    </row>
    <row collapsed="false" customFormat="true" customHeight="true" hidden="false" ht="33" outlineLevel="0" r="136" s="73">
      <c r="A136" s="30" t="n">
        <v>138</v>
      </c>
      <c r="B136" s="30" t="s">
        <v>242</v>
      </c>
      <c r="C136" s="30" t="s">
        <v>1009</v>
      </c>
      <c r="D136" s="30" t="s">
        <v>999</v>
      </c>
      <c r="E136" s="30" t="s">
        <v>1010</v>
      </c>
      <c r="F136" s="30" t="s">
        <v>1011</v>
      </c>
      <c r="G136" s="30" t="s">
        <v>1002</v>
      </c>
      <c r="H136" s="30" t="s">
        <v>1003</v>
      </c>
      <c r="I136" s="30" t="n">
        <v>1</v>
      </c>
      <c r="J136" s="30"/>
      <c r="K136" s="30"/>
      <c r="L136" s="30"/>
      <c r="M136" s="30" t="s">
        <v>1015</v>
      </c>
      <c r="N136" s="30" t="s">
        <v>53</v>
      </c>
      <c r="O136" s="30"/>
      <c r="P136" s="30"/>
      <c r="Q136" s="30"/>
      <c r="R136" s="30"/>
      <c r="S136" s="30"/>
      <c r="T136" s="30"/>
      <c r="U136" s="30" t="n">
        <v>1114.2</v>
      </c>
      <c r="V136" s="30" t="n">
        <v>1114.2</v>
      </c>
      <c r="W136" s="30" t="n">
        <v>833.65</v>
      </c>
      <c r="X136" s="30"/>
      <c r="Y136" s="30" t="n">
        <v>93.28</v>
      </c>
      <c r="Z136" s="30" t="s">
        <v>1006</v>
      </c>
      <c r="AA136" s="30" t="n">
        <v>80.2</v>
      </c>
      <c r="AB136" s="30" t="s">
        <v>1006</v>
      </c>
      <c r="AC136" s="30" t="n">
        <v>85.13</v>
      </c>
      <c r="AD136" s="30" t="s">
        <v>1006</v>
      </c>
      <c r="AE136" s="30" t="n">
        <v>78.91</v>
      </c>
      <c r="AF136" s="30" t="s">
        <v>1006</v>
      </c>
      <c r="AG136" s="30" t="n">
        <v>41.76</v>
      </c>
      <c r="AH136" s="30" t="s">
        <v>1006</v>
      </c>
      <c r="AI136" s="30" t="n">
        <v>23.33</v>
      </c>
      <c r="AJ136" s="30" t="s">
        <v>1006</v>
      </c>
      <c r="AK136" s="30" t="n">
        <v>12.78</v>
      </c>
      <c r="AL136" s="30" t="s">
        <v>1006</v>
      </c>
      <c r="AM136" s="30" t="n">
        <v>15.32</v>
      </c>
      <c r="AN136" s="30" t="s">
        <v>1006</v>
      </c>
      <c r="AO136" s="30" t="n">
        <v>32.47</v>
      </c>
      <c r="AP136" s="30" t="s">
        <v>1006</v>
      </c>
      <c r="AQ136" s="30" t="n">
        <v>45.69</v>
      </c>
      <c r="AR136" s="30" t="s">
        <v>1005</v>
      </c>
      <c r="AS136" s="30" t="n">
        <v>68.09</v>
      </c>
      <c r="AT136" s="30" t="s">
        <v>1005</v>
      </c>
      <c r="AU136" s="30" t="n">
        <v>79.75</v>
      </c>
      <c r="AV136" s="30" t="n">
        <v>0.237</v>
      </c>
      <c r="AW136" s="30" t="s">
        <v>1016</v>
      </c>
      <c r="AX136" s="30" t="s">
        <v>1008</v>
      </c>
      <c r="AY136" s="30" t="n">
        <v>1</v>
      </c>
      <c r="AZ136" s="30"/>
    </row>
    <row collapsed="false" customFormat="true" customHeight="true" hidden="false" ht="33" outlineLevel="0" r="137" s="73">
      <c r="A137" s="30" t="n">
        <v>139</v>
      </c>
      <c r="B137" s="30" t="s">
        <v>243</v>
      </c>
      <c r="C137" s="30" t="s">
        <v>1009</v>
      </c>
      <c r="D137" s="30" t="s">
        <v>999</v>
      </c>
      <c r="E137" s="30" t="s">
        <v>1010</v>
      </c>
      <c r="F137" s="30" t="s">
        <v>1011</v>
      </c>
      <c r="G137" s="30" t="s">
        <v>1002</v>
      </c>
      <c r="H137" s="30" t="s">
        <v>1003</v>
      </c>
      <c r="I137" s="30" t="n">
        <v>1</v>
      </c>
      <c r="J137" s="30"/>
      <c r="K137" s="30"/>
      <c r="L137" s="30"/>
      <c r="M137" s="30" t="s">
        <v>1015</v>
      </c>
      <c r="N137" s="30" t="s">
        <v>53</v>
      </c>
      <c r="O137" s="30"/>
      <c r="P137" s="30"/>
      <c r="Q137" s="30"/>
      <c r="R137" s="30"/>
      <c r="S137" s="30"/>
      <c r="T137" s="30"/>
      <c r="U137" s="30" t="n">
        <v>1123.32</v>
      </c>
      <c r="V137" s="30" t="n">
        <v>1123.32</v>
      </c>
      <c r="W137" s="30" t="n">
        <v>842.85</v>
      </c>
      <c r="X137" s="30"/>
      <c r="Y137" s="30" t="n">
        <v>86.97</v>
      </c>
      <c r="Z137" s="30" t="s">
        <v>1006</v>
      </c>
      <c r="AA137" s="30" t="n">
        <v>77.2</v>
      </c>
      <c r="AB137" s="30" t="s">
        <v>1006</v>
      </c>
      <c r="AC137" s="30" t="n">
        <v>76.15</v>
      </c>
      <c r="AD137" s="30" t="s">
        <v>1006</v>
      </c>
      <c r="AE137" s="30" t="n">
        <v>76.03</v>
      </c>
      <c r="AF137" s="30" t="s">
        <v>1006</v>
      </c>
      <c r="AG137" s="30" t="n">
        <v>36.84</v>
      </c>
      <c r="AH137" s="30" t="s">
        <v>1006</v>
      </c>
      <c r="AI137" s="30" t="n">
        <v>18.34</v>
      </c>
      <c r="AJ137" s="30" t="s">
        <v>1006</v>
      </c>
      <c r="AK137" s="30" t="n">
        <v>10.07</v>
      </c>
      <c r="AL137" s="30" t="s">
        <v>1006</v>
      </c>
      <c r="AM137" s="30" t="n">
        <v>14.69</v>
      </c>
      <c r="AN137" s="30" t="s">
        <v>1006</v>
      </c>
      <c r="AO137" s="30" t="n">
        <v>29.57</v>
      </c>
      <c r="AP137" s="30" t="s">
        <v>1006</v>
      </c>
      <c r="AQ137" s="30" t="n">
        <v>72.59</v>
      </c>
      <c r="AR137" s="30" t="s">
        <v>1006</v>
      </c>
      <c r="AS137" s="30" t="n">
        <v>71.42</v>
      </c>
      <c r="AT137" s="30" t="s">
        <v>1006</v>
      </c>
      <c r="AU137" s="30" t="n">
        <v>55.67</v>
      </c>
      <c r="AV137" s="30" t="n">
        <v>0.237</v>
      </c>
      <c r="AW137" s="30" t="s">
        <v>1016</v>
      </c>
      <c r="AX137" s="30" t="s">
        <v>1008</v>
      </c>
      <c r="AY137" s="30" t="n">
        <v>1</v>
      </c>
      <c r="AZ137" s="30"/>
    </row>
    <row collapsed="false" customFormat="true" customHeight="true" hidden="false" ht="33" outlineLevel="0" r="138" s="73">
      <c r="A138" s="30" t="n">
        <v>140</v>
      </c>
      <c r="B138" s="30" t="s">
        <v>244</v>
      </c>
      <c r="C138" s="30" t="s">
        <v>1009</v>
      </c>
      <c r="D138" s="30" t="s">
        <v>999</v>
      </c>
      <c r="E138" s="30" t="s">
        <v>1010</v>
      </c>
      <c r="F138" s="30" t="s">
        <v>1011</v>
      </c>
      <c r="G138" s="30" t="s">
        <v>1002</v>
      </c>
      <c r="H138" s="30" t="s">
        <v>1003</v>
      </c>
      <c r="I138" s="30" t="n">
        <v>1</v>
      </c>
      <c r="J138" s="30"/>
      <c r="K138" s="30"/>
      <c r="L138" s="30"/>
      <c r="M138" s="30" t="s">
        <v>1015</v>
      </c>
      <c r="N138" s="30" t="s">
        <v>53</v>
      </c>
      <c r="O138" s="30"/>
      <c r="P138" s="30"/>
      <c r="Q138" s="30"/>
      <c r="R138" s="30"/>
      <c r="S138" s="30"/>
      <c r="T138" s="30"/>
      <c r="U138" s="30" t="n">
        <v>1275.84</v>
      </c>
      <c r="V138" s="30" t="n">
        <v>1275.84</v>
      </c>
      <c r="W138" s="30" t="n">
        <v>932.5</v>
      </c>
      <c r="X138" s="30"/>
      <c r="Y138" s="30" t="n">
        <v>115.63</v>
      </c>
      <c r="Z138" s="30" t="s">
        <v>1006</v>
      </c>
      <c r="AA138" s="30" t="n">
        <v>103.52</v>
      </c>
      <c r="AB138" s="30" t="s">
        <v>1006</v>
      </c>
      <c r="AC138" s="30" t="n">
        <v>103.93</v>
      </c>
      <c r="AD138" s="30" t="s">
        <v>1006</v>
      </c>
      <c r="AE138" s="30" t="n">
        <v>103.84</v>
      </c>
      <c r="AF138" s="30" t="s">
        <v>1006</v>
      </c>
      <c r="AG138" s="30" t="n">
        <v>50.4</v>
      </c>
      <c r="AH138" s="30" t="s">
        <v>1006</v>
      </c>
      <c r="AI138" s="30" t="n">
        <v>24.28</v>
      </c>
      <c r="AJ138" s="30" t="s">
        <v>1006</v>
      </c>
      <c r="AK138" s="30" t="n">
        <v>12.34</v>
      </c>
      <c r="AL138" s="30" t="s">
        <v>1006</v>
      </c>
      <c r="AM138" s="30" t="n">
        <v>20.76</v>
      </c>
      <c r="AN138" s="30" t="s">
        <v>1006</v>
      </c>
      <c r="AO138" s="30" t="n">
        <v>36.48</v>
      </c>
      <c r="AP138" s="30" t="s">
        <v>1006</v>
      </c>
      <c r="AQ138" s="30" t="n">
        <v>57.36</v>
      </c>
      <c r="AR138" s="30" t="s">
        <v>1005</v>
      </c>
      <c r="AS138" s="30" t="n">
        <v>86.47</v>
      </c>
      <c r="AT138" s="30" t="s">
        <v>1005</v>
      </c>
      <c r="AU138" s="30" t="n">
        <v>103.55</v>
      </c>
      <c r="AV138" s="30" t="n">
        <v>0.386</v>
      </c>
      <c r="AW138" s="30" t="s">
        <v>1016</v>
      </c>
      <c r="AX138" s="30" t="s">
        <v>1008</v>
      </c>
      <c r="AY138" s="30" t="n">
        <v>1</v>
      </c>
      <c r="AZ138" s="30"/>
    </row>
    <row collapsed="false" customFormat="true" customHeight="true" hidden="false" ht="33" outlineLevel="0" r="139" s="73">
      <c r="A139" s="30" t="n">
        <v>141</v>
      </c>
      <c r="B139" s="30" t="s">
        <v>245</v>
      </c>
      <c r="C139" s="30" t="s">
        <v>1009</v>
      </c>
      <c r="D139" s="30" t="s">
        <v>999</v>
      </c>
      <c r="E139" s="30" t="s">
        <v>1010</v>
      </c>
      <c r="F139" s="30" t="s">
        <v>1011</v>
      </c>
      <c r="G139" s="30" t="s">
        <v>1002</v>
      </c>
      <c r="H139" s="30" t="s">
        <v>1003</v>
      </c>
      <c r="I139" s="30" t="n">
        <v>1</v>
      </c>
      <c r="J139" s="30"/>
      <c r="K139" s="30"/>
      <c r="L139" s="30"/>
      <c r="M139" s="30" t="s">
        <v>1015</v>
      </c>
      <c r="N139" s="30" t="s">
        <v>53</v>
      </c>
      <c r="O139" s="30"/>
      <c r="P139" s="30"/>
      <c r="Q139" s="30"/>
      <c r="R139" s="30"/>
      <c r="S139" s="30"/>
      <c r="T139" s="30"/>
      <c r="U139" s="30" t="n">
        <v>1729.2</v>
      </c>
      <c r="V139" s="30" t="n">
        <v>1729.2</v>
      </c>
      <c r="W139" s="30" t="n">
        <v>1275.83</v>
      </c>
      <c r="X139" s="30"/>
      <c r="Y139" s="30" t="n">
        <v>157.66</v>
      </c>
      <c r="Z139" s="30" t="s">
        <v>1006</v>
      </c>
      <c r="AA139" s="30" t="n">
        <v>135.66</v>
      </c>
      <c r="AB139" s="30" t="s">
        <v>1006</v>
      </c>
      <c r="AC139" s="30" t="n">
        <v>138.44</v>
      </c>
      <c r="AD139" s="30" t="s">
        <v>1006</v>
      </c>
      <c r="AE139" s="30" t="n">
        <v>136.51</v>
      </c>
      <c r="AF139" s="30" t="s">
        <v>1006</v>
      </c>
      <c r="AG139" s="30" t="n">
        <v>66.7</v>
      </c>
      <c r="AH139" s="30" t="s">
        <v>1006</v>
      </c>
      <c r="AI139" s="30" t="n">
        <v>32.27</v>
      </c>
      <c r="AJ139" s="30" t="s">
        <v>1006</v>
      </c>
      <c r="AK139" s="30" t="n">
        <v>16.46</v>
      </c>
      <c r="AL139" s="30" t="s">
        <v>1006</v>
      </c>
      <c r="AM139" s="30" t="n">
        <v>26.54</v>
      </c>
      <c r="AN139" s="30" t="s">
        <v>1006</v>
      </c>
      <c r="AO139" s="30" t="n">
        <v>52.35</v>
      </c>
      <c r="AP139" s="30" t="s">
        <v>1006</v>
      </c>
      <c r="AQ139" s="30" t="n">
        <v>91.27</v>
      </c>
      <c r="AR139" s="30" t="s">
        <v>1005</v>
      </c>
      <c r="AS139" s="30" t="n">
        <v>127.73</v>
      </c>
      <c r="AT139" s="30" t="s">
        <v>1005</v>
      </c>
      <c r="AU139" s="30" t="n">
        <v>150.81</v>
      </c>
      <c r="AV139" s="30" t="n">
        <v>0.436</v>
      </c>
      <c r="AW139" s="30" t="s">
        <v>1016</v>
      </c>
      <c r="AX139" s="30" t="s">
        <v>1008</v>
      </c>
      <c r="AY139" s="30" t="n">
        <v>1</v>
      </c>
      <c r="AZ139" s="30"/>
    </row>
    <row collapsed="false" customFormat="true" customHeight="true" hidden="false" ht="33" outlineLevel="0" r="140" s="73">
      <c r="A140" s="30" t="n">
        <v>142</v>
      </c>
      <c r="B140" s="30" t="s">
        <v>247</v>
      </c>
      <c r="C140" s="30" t="s">
        <v>1009</v>
      </c>
      <c r="D140" s="30" t="s">
        <v>999</v>
      </c>
      <c r="E140" s="30" t="s">
        <v>1010</v>
      </c>
      <c r="F140" s="30" t="s">
        <v>1011</v>
      </c>
      <c r="G140" s="30" t="s">
        <v>1002</v>
      </c>
      <c r="H140" s="30" t="s">
        <v>1003</v>
      </c>
      <c r="I140" s="30" t="n">
        <v>1</v>
      </c>
      <c r="J140" s="30"/>
      <c r="K140" s="30"/>
      <c r="L140" s="30"/>
      <c r="M140" s="30" t="s">
        <v>1015</v>
      </c>
      <c r="N140" s="30" t="s">
        <v>53</v>
      </c>
      <c r="O140" s="30"/>
      <c r="P140" s="30"/>
      <c r="Q140" s="30"/>
      <c r="R140" s="30"/>
      <c r="S140" s="30"/>
      <c r="T140" s="30"/>
      <c r="U140" s="30" t="n">
        <v>1123.56</v>
      </c>
      <c r="V140" s="30" t="n">
        <v>1123.56</v>
      </c>
      <c r="W140" s="30" t="n">
        <v>843.22</v>
      </c>
      <c r="X140" s="30"/>
      <c r="Y140" s="30" t="n">
        <v>93.48</v>
      </c>
      <c r="Z140" s="30" t="s">
        <v>1006</v>
      </c>
      <c r="AA140" s="30" t="n">
        <v>79.6</v>
      </c>
      <c r="AB140" s="30" t="s">
        <v>1006</v>
      </c>
      <c r="AC140" s="30" t="n">
        <v>80</v>
      </c>
      <c r="AD140" s="30" t="s">
        <v>1006</v>
      </c>
      <c r="AE140" s="30" t="n">
        <v>8.41</v>
      </c>
      <c r="AF140" s="30" t="s">
        <v>1006</v>
      </c>
      <c r="AG140" s="30" t="n">
        <v>41.08</v>
      </c>
      <c r="AH140" s="30" t="s">
        <v>1006</v>
      </c>
      <c r="AI140" s="30" t="n">
        <v>22.47</v>
      </c>
      <c r="AJ140" s="30" t="s">
        <v>1006</v>
      </c>
      <c r="AK140" s="30" t="n">
        <v>9.4</v>
      </c>
      <c r="AL140" s="30" t="s">
        <v>1006</v>
      </c>
      <c r="AM140" s="30" t="n">
        <v>18.26</v>
      </c>
      <c r="AN140" s="30" t="s">
        <v>1006</v>
      </c>
      <c r="AO140" s="30" t="n">
        <v>37.24</v>
      </c>
      <c r="AP140" s="30" t="s">
        <v>1006</v>
      </c>
      <c r="AQ140" s="30" t="n">
        <v>69.97</v>
      </c>
      <c r="AR140" s="30" t="s">
        <v>1005</v>
      </c>
      <c r="AS140" s="30" t="n">
        <v>107.42</v>
      </c>
      <c r="AT140" s="30" t="s">
        <v>1005</v>
      </c>
      <c r="AU140" s="30" t="n">
        <v>86.53</v>
      </c>
      <c r="AV140" s="30" t="n">
        <v>0.237</v>
      </c>
      <c r="AW140" s="30" t="s">
        <v>1016</v>
      </c>
      <c r="AX140" s="30" t="s">
        <v>1008</v>
      </c>
      <c r="AY140" s="30" t="n">
        <v>1</v>
      </c>
      <c r="AZ140" s="30"/>
    </row>
    <row collapsed="false" customFormat="true" customHeight="true" hidden="false" ht="33" outlineLevel="0" r="141" s="73">
      <c r="A141" s="30" t="n">
        <v>143</v>
      </c>
      <c r="B141" s="30" t="s">
        <v>248</v>
      </c>
      <c r="C141" s="30" t="s">
        <v>1009</v>
      </c>
      <c r="D141" s="30" t="s">
        <v>999</v>
      </c>
      <c r="E141" s="30" t="s">
        <v>1010</v>
      </c>
      <c r="F141" s="30" t="s">
        <v>1011</v>
      </c>
      <c r="G141" s="30" t="s">
        <v>1002</v>
      </c>
      <c r="H141" s="30" t="s">
        <v>1003</v>
      </c>
      <c r="I141" s="30" t="n">
        <v>2</v>
      </c>
      <c r="J141" s="30"/>
      <c r="K141" s="30"/>
      <c r="L141" s="30"/>
      <c r="M141" s="30" t="s">
        <v>1015</v>
      </c>
      <c r="N141" s="30" t="s">
        <v>53</v>
      </c>
      <c r="O141" s="30"/>
      <c r="P141" s="30"/>
      <c r="Q141" s="30"/>
      <c r="R141" s="30"/>
      <c r="S141" s="30"/>
      <c r="T141" s="30"/>
      <c r="U141" s="30" t="n">
        <v>2381.4</v>
      </c>
      <c r="V141" s="30" t="n">
        <v>2381.4</v>
      </c>
      <c r="W141" s="30" t="n">
        <v>1775.1</v>
      </c>
      <c r="X141" s="30"/>
      <c r="Y141" s="30" t="n">
        <v>294.93</v>
      </c>
      <c r="Z141" s="30" t="s">
        <v>1006</v>
      </c>
      <c r="AA141" s="30" t="n">
        <v>252.21</v>
      </c>
      <c r="AB141" s="30" t="s">
        <v>1005</v>
      </c>
      <c r="AC141" s="30" t="n">
        <v>307.73</v>
      </c>
      <c r="AD141" s="30" t="s">
        <v>1005</v>
      </c>
      <c r="AE141" s="30" t="n">
        <v>173.82</v>
      </c>
      <c r="AF141" s="30" t="s">
        <v>1005</v>
      </c>
      <c r="AG141" s="30" t="n">
        <v>125.73</v>
      </c>
      <c r="AH141" s="30" t="s">
        <v>1005</v>
      </c>
      <c r="AI141" s="30" t="n">
        <v>106.68</v>
      </c>
      <c r="AJ141" s="30" t="s">
        <v>1006</v>
      </c>
      <c r="AK141" s="30" t="n">
        <v>28.68</v>
      </c>
      <c r="AL141" s="30" t="s">
        <v>1005</v>
      </c>
      <c r="AM141" s="30" t="n">
        <v>39.97</v>
      </c>
      <c r="AN141" s="30" t="s">
        <v>1005</v>
      </c>
      <c r="AO141" s="30" t="n">
        <v>62.35</v>
      </c>
      <c r="AP141" s="30" t="s">
        <v>1005</v>
      </c>
      <c r="AQ141" s="30" t="n">
        <v>184.28</v>
      </c>
      <c r="AR141" s="30" t="s">
        <v>1005</v>
      </c>
      <c r="AS141" s="30" t="n">
        <v>192.57</v>
      </c>
      <c r="AT141" s="30" t="s">
        <v>1005</v>
      </c>
      <c r="AU141" s="30" t="n">
        <v>231.44</v>
      </c>
      <c r="AV141" s="30" t="n">
        <v>0.69052</v>
      </c>
      <c r="AW141" s="30" t="s">
        <v>1016</v>
      </c>
      <c r="AX141" s="30" t="s">
        <v>1008</v>
      </c>
      <c r="AY141" s="30" t="n">
        <v>2</v>
      </c>
      <c r="AZ141" s="30"/>
    </row>
    <row collapsed="false" customFormat="true" customHeight="true" hidden="false" ht="33" outlineLevel="0" r="142" s="73">
      <c r="A142" s="30" t="n">
        <v>144</v>
      </c>
      <c r="B142" s="30" t="s">
        <v>250</v>
      </c>
      <c r="C142" s="30" t="s">
        <v>1009</v>
      </c>
      <c r="D142" s="30" t="s">
        <v>999</v>
      </c>
      <c r="E142" s="30" t="s">
        <v>1000</v>
      </c>
      <c r="F142" s="30" t="s">
        <v>1014</v>
      </c>
      <c r="G142" s="30" t="s">
        <v>1002</v>
      </c>
      <c r="H142" s="30" t="s">
        <v>1003</v>
      </c>
      <c r="I142" s="30" t="n">
        <v>1</v>
      </c>
      <c r="J142" s="30"/>
      <c r="K142" s="30" t="n">
        <v>80</v>
      </c>
      <c r="L142" s="30" t="n">
        <v>8</v>
      </c>
      <c r="M142" s="30" t="s">
        <v>1004</v>
      </c>
      <c r="N142" s="30" t="s">
        <v>54</v>
      </c>
      <c r="O142" s="30"/>
      <c r="P142" s="30"/>
      <c r="Q142" s="30"/>
      <c r="R142" s="30"/>
      <c r="S142" s="30"/>
      <c r="T142" s="30"/>
      <c r="U142" s="30" t="n">
        <v>685.34</v>
      </c>
      <c r="V142" s="30" t="n">
        <v>624.51</v>
      </c>
      <c r="W142" s="30" t="n">
        <v>109.01</v>
      </c>
      <c r="X142" s="30" t="s">
        <v>1005</v>
      </c>
      <c r="Y142" s="30" t="n">
        <v>98.33</v>
      </c>
      <c r="Z142" s="30" t="s">
        <v>1005</v>
      </c>
      <c r="AA142" s="30" t="n">
        <v>106.22</v>
      </c>
      <c r="AB142" s="30" t="s">
        <v>1005</v>
      </c>
      <c r="AC142" s="30" t="n">
        <v>30.12</v>
      </c>
      <c r="AD142" s="30" t="s">
        <v>1005</v>
      </c>
      <c r="AE142" s="30" t="n">
        <v>23.7</v>
      </c>
      <c r="AF142" s="30" t="s">
        <v>1005</v>
      </c>
      <c r="AG142" s="30" t="n">
        <v>0</v>
      </c>
      <c r="AH142" s="30" t="s">
        <v>1006</v>
      </c>
      <c r="AI142" s="30" t="n">
        <v>0</v>
      </c>
      <c r="AJ142" s="30" t="s">
        <v>1006</v>
      </c>
      <c r="AK142" s="30" t="n">
        <v>0</v>
      </c>
      <c r="AL142" s="30" t="s">
        <v>1006</v>
      </c>
      <c r="AM142" s="30" t="n">
        <v>0</v>
      </c>
      <c r="AN142" s="30" t="s">
        <v>1005</v>
      </c>
      <c r="AO142" s="30" t="n">
        <v>46.14</v>
      </c>
      <c r="AP142" s="30" t="s">
        <v>1005</v>
      </c>
      <c r="AQ142" s="30" t="n">
        <v>55.94</v>
      </c>
      <c r="AR142" s="30" t="s">
        <v>1005</v>
      </c>
      <c r="AS142" s="30" t="n">
        <v>72.44</v>
      </c>
      <c r="AT142" s="30" t="s">
        <v>1005</v>
      </c>
      <c r="AU142" s="30" t="n">
        <v>541.9</v>
      </c>
      <c r="AV142" s="30" t="n">
        <v>0.24188</v>
      </c>
      <c r="AW142" s="30" t="s">
        <v>1007</v>
      </c>
      <c r="AX142" s="30" t="s">
        <v>1008</v>
      </c>
      <c r="AY142" s="30" t="n">
        <v>1</v>
      </c>
      <c r="AZ142" s="30"/>
    </row>
    <row collapsed="false" customFormat="true" customHeight="true" hidden="false" ht="33" outlineLevel="0" r="143" s="73">
      <c r="A143" s="30" t="n">
        <v>145</v>
      </c>
      <c r="B143" s="30" t="s">
        <v>251</v>
      </c>
      <c r="C143" s="30" t="s">
        <v>1009</v>
      </c>
      <c r="D143" s="30" t="s">
        <v>999</v>
      </c>
      <c r="E143" s="30" t="s">
        <v>1000</v>
      </c>
      <c r="F143" s="30" t="s">
        <v>1014</v>
      </c>
      <c r="G143" s="30" t="s">
        <v>1002</v>
      </c>
      <c r="H143" s="30" t="s">
        <v>1003</v>
      </c>
      <c r="I143" s="30" t="n">
        <v>1</v>
      </c>
      <c r="J143" s="30"/>
      <c r="K143" s="30" t="n">
        <v>80</v>
      </c>
      <c r="L143" s="30" t="n">
        <v>7</v>
      </c>
      <c r="M143" s="30" t="s">
        <v>1004</v>
      </c>
      <c r="N143" s="30" t="s">
        <v>54</v>
      </c>
      <c r="O143" s="30"/>
      <c r="P143" s="30"/>
      <c r="Q143" s="30"/>
      <c r="R143" s="30"/>
      <c r="S143" s="30"/>
      <c r="T143" s="30"/>
      <c r="U143" s="30" t="n">
        <v>617.68</v>
      </c>
      <c r="V143" s="30" t="n">
        <v>618.07</v>
      </c>
      <c r="W143" s="30" t="n">
        <v>114.67</v>
      </c>
      <c r="X143" s="30" t="s">
        <v>1005</v>
      </c>
      <c r="Y143" s="30" t="n">
        <v>93.6</v>
      </c>
      <c r="Z143" s="30" t="s">
        <v>1005</v>
      </c>
      <c r="AA143" s="30" t="n">
        <v>103.82</v>
      </c>
      <c r="AB143" s="30" t="s">
        <v>1005</v>
      </c>
      <c r="AC143" s="30" t="n">
        <v>38.41</v>
      </c>
      <c r="AD143" s="30" t="s">
        <v>1005</v>
      </c>
      <c r="AE143" s="30" t="n">
        <v>23.05</v>
      </c>
      <c r="AF143" s="30" t="s">
        <v>1005</v>
      </c>
      <c r="AG143" s="30" t="n">
        <v>0</v>
      </c>
      <c r="AH143" s="30" t="s">
        <v>1006</v>
      </c>
      <c r="AI143" s="30" t="n">
        <v>0</v>
      </c>
      <c r="AJ143" s="30" t="s">
        <v>1006</v>
      </c>
      <c r="AK143" s="30" t="n">
        <v>0</v>
      </c>
      <c r="AL143" s="30" t="s">
        <v>1006</v>
      </c>
      <c r="AM143" s="30" t="n">
        <v>0</v>
      </c>
      <c r="AN143" s="30" t="s">
        <v>1005</v>
      </c>
      <c r="AO143" s="30" t="n">
        <v>49.79</v>
      </c>
      <c r="AP143" s="30" t="s">
        <v>1005</v>
      </c>
      <c r="AQ143" s="30" t="n">
        <v>55.99</v>
      </c>
      <c r="AR143" s="30" t="s">
        <v>1005</v>
      </c>
      <c r="AS143" s="30" t="n">
        <v>72.48</v>
      </c>
      <c r="AT143" s="30" t="s">
        <v>1005</v>
      </c>
      <c r="AU143" s="30" t="n">
        <v>551.81</v>
      </c>
      <c r="AV143" s="30" t="n">
        <v>0.25292</v>
      </c>
      <c r="AW143" s="30" t="s">
        <v>1007</v>
      </c>
      <c r="AX143" s="30" t="s">
        <v>1008</v>
      </c>
      <c r="AY143" s="30" t="n">
        <v>1</v>
      </c>
      <c r="AZ143" s="30"/>
    </row>
    <row collapsed="false" customFormat="true" customHeight="true" hidden="false" ht="33" outlineLevel="0" r="144" s="73">
      <c r="A144" s="30" t="n">
        <v>146</v>
      </c>
      <c r="B144" s="30" t="s">
        <v>252</v>
      </c>
      <c r="C144" s="30" t="s">
        <v>1009</v>
      </c>
      <c r="D144" s="30" t="s">
        <v>999</v>
      </c>
      <c r="E144" s="30" t="s">
        <v>1000</v>
      </c>
      <c r="F144" s="30" t="s">
        <v>1014</v>
      </c>
      <c r="G144" s="30" t="s">
        <v>1002</v>
      </c>
      <c r="H144" s="30" t="s">
        <v>1003</v>
      </c>
      <c r="I144" s="30" t="n">
        <v>1</v>
      </c>
      <c r="J144" s="30"/>
      <c r="K144" s="30" t="n">
        <v>80</v>
      </c>
      <c r="L144" s="30" t="n">
        <v>9</v>
      </c>
      <c r="M144" s="30" t="s">
        <v>1004</v>
      </c>
      <c r="N144" s="30" t="s">
        <v>54</v>
      </c>
      <c r="O144" s="30"/>
      <c r="P144" s="30"/>
      <c r="Q144" s="30"/>
      <c r="R144" s="30"/>
      <c r="S144" s="30"/>
      <c r="T144" s="30"/>
      <c r="U144" s="30" t="n">
        <v>497.48</v>
      </c>
      <c r="V144" s="30" t="n">
        <v>483.27</v>
      </c>
      <c r="W144" s="30" t="n">
        <v>123.96</v>
      </c>
      <c r="X144" s="30" t="s">
        <v>1005</v>
      </c>
      <c r="Y144" s="30" t="n">
        <v>101.18</v>
      </c>
      <c r="Z144" s="30" t="s">
        <v>1005</v>
      </c>
      <c r="AA144" s="30" t="n">
        <v>111.29</v>
      </c>
      <c r="AB144" s="30" t="s">
        <v>1005</v>
      </c>
      <c r="AC144" s="30" t="n">
        <v>39.82</v>
      </c>
      <c r="AD144" s="30" t="s">
        <v>1005</v>
      </c>
      <c r="AE144" s="30" t="n">
        <v>25.88</v>
      </c>
      <c r="AF144" s="30" t="s">
        <v>1005</v>
      </c>
      <c r="AG144" s="30" t="n">
        <v>0</v>
      </c>
      <c r="AH144" s="30" t="s">
        <v>1006</v>
      </c>
      <c r="AI144" s="30" t="n">
        <v>0</v>
      </c>
      <c r="AJ144" s="30" t="s">
        <v>1006</v>
      </c>
      <c r="AK144" s="30" t="n">
        <v>0</v>
      </c>
      <c r="AL144" s="30" t="s">
        <v>1006</v>
      </c>
      <c r="AM144" s="30" t="n">
        <v>0</v>
      </c>
      <c r="AN144" s="30" t="s">
        <v>1005</v>
      </c>
      <c r="AO144" s="30" t="n">
        <v>58.88</v>
      </c>
      <c r="AP144" s="30" t="s">
        <v>1005</v>
      </c>
      <c r="AQ144" s="30" t="n">
        <v>66.31</v>
      </c>
      <c r="AR144" s="30" t="s">
        <v>1005</v>
      </c>
      <c r="AS144" s="30" t="n">
        <v>85.8</v>
      </c>
      <c r="AT144" s="30" t="s">
        <v>1005</v>
      </c>
      <c r="AU144" s="30" t="n">
        <v>613.12</v>
      </c>
      <c r="AV144" s="30" t="n">
        <v>0.20575</v>
      </c>
      <c r="AW144" s="30" t="s">
        <v>1007</v>
      </c>
      <c r="AX144" s="30" t="s">
        <v>1008</v>
      </c>
      <c r="AY144" s="30" t="n">
        <v>1</v>
      </c>
      <c r="AZ144" s="30"/>
    </row>
    <row collapsed="false" customFormat="true" customHeight="true" hidden="false" ht="33" outlineLevel="0" r="145" s="73">
      <c r="A145" s="30" t="n">
        <v>147</v>
      </c>
      <c r="B145" s="30" t="s">
        <v>253</v>
      </c>
      <c r="C145" s="30" t="s">
        <v>1009</v>
      </c>
      <c r="D145" s="30" t="s">
        <v>999</v>
      </c>
      <c r="E145" s="30" t="s">
        <v>1000</v>
      </c>
      <c r="F145" s="30" t="s">
        <v>1014</v>
      </c>
      <c r="G145" s="30" t="s">
        <v>1002</v>
      </c>
      <c r="H145" s="30" t="s">
        <v>1003</v>
      </c>
      <c r="I145" s="30" t="n">
        <v>1</v>
      </c>
      <c r="J145" s="30"/>
      <c r="K145" s="30" t="n">
        <v>80</v>
      </c>
      <c r="L145" s="30" t="n">
        <v>7</v>
      </c>
      <c r="M145" s="30" t="s">
        <v>1004</v>
      </c>
      <c r="N145" s="30" t="s">
        <v>54</v>
      </c>
      <c r="O145" s="30"/>
      <c r="P145" s="30"/>
      <c r="Q145" s="30"/>
      <c r="R145" s="30"/>
      <c r="S145" s="30"/>
      <c r="T145" s="30"/>
      <c r="U145" s="30" t="n">
        <v>632.79</v>
      </c>
      <c r="V145" s="30" t="n">
        <v>618.07</v>
      </c>
      <c r="W145" s="30" t="n">
        <v>115.16</v>
      </c>
      <c r="X145" s="30" t="s">
        <v>1005</v>
      </c>
      <c r="Y145" s="30" t="n">
        <v>92.98</v>
      </c>
      <c r="Z145" s="30" t="s">
        <v>1005</v>
      </c>
      <c r="AA145" s="30" t="n">
        <v>103.13</v>
      </c>
      <c r="AB145" s="30" t="s">
        <v>1005</v>
      </c>
      <c r="AC145" s="30" t="n">
        <v>37.35</v>
      </c>
      <c r="AD145" s="30" t="s">
        <v>1005</v>
      </c>
      <c r="AE145" s="30" t="n">
        <v>23.73</v>
      </c>
      <c r="AF145" s="30" t="s">
        <v>1005</v>
      </c>
      <c r="AG145" s="30" t="n">
        <v>0</v>
      </c>
      <c r="AH145" s="30" t="s">
        <v>1006</v>
      </c>
      <c r="AI145" s="30" t="n">
        <v>0</v>
      </c>
      <c r="AJ145" s="30" t="s">
        <v>1006</v>
      </c>
      <c r="AK145" s="30" t="n">
        <v>0</v>
      </c>
      <c r="AL145" s="30" t="s">
        <v>1006</v>
      </c>
      <c r="AM145" s="30" t="n">
        <v>0</v>
      </c>
      <c r="AN145" s="30" t="s">
        <v>1005</v>
      </c>
      <c r="AO145" s="30" t="n">
        <v>49.51</v>
      </c>
      <c r="AP145" s="30" t="s">
        <v>1005</v>
      </c>
      <c r="AQ145" s="30" t="n">
        <v>55.02</v>
      </c>
      <c r="AR145" s="30" t="s">
        <v>1005</v>
      </c>
      <c r="AS145" s="30" t="n">
        <v>71.83</v>
      </c>
      <c r="AT145" s="30" t="s">
        <v>1005</v>
      </c>
      <c r="AU145" s="30" t="n">
        <v>548.71</v>
      </c>
      <c r="AV145" s="30" t="n">
        <v>0.24791</v>
      </c>
      <c r="AW145" s="30" t="s">
        <v>1007</v>
      </c>
      <c r="AX145" s="30" t="s">
        <v>1008</v>
      </c>
      <c r="AY145" s="30" t="n">
        <v>1</v>
      </c>
      <c r="AZ145" s="30"/>
    </row>
    <row collapsed="false" customFormat="true" customHeight="true" hidden="false" ht="33" outlineLevel="0" r="146" s="73">
      <c r="A146" s="30" t="n">
        <v>148</v>
      </c>
      <c r="B146" s="30" t="s">
        <v>254</v>
      </c>
      <c r="C146" s="30" t="s">
        <v>1009</v>
      </c>
      <c r="D146" s="30" t="s">
        <v>999</v>
      </c>
      <c r="E146" s="30" t="s">
        <v>1000</v>
      </c>
      <c r="F146" s="30" t="s">
        <v>1014</v>
      </c>
      <c r="G146" s="30" t="s">
        <v>1002</v>
      </c>
      <c r="H146" s="30" t="s">
        <v>1003</v>
      </c>
      <c r="I146" s="30" t="n">
        <v>1</v>
      </c>
      <c r="J146" s="30"/>
      <c r="K146" s="30" t="n">
        <v>80</v>
      </c>
      <c r="L146" s="30" t="n">
        <v>7</v>
      </c>
      <c r="M146" s="30" t="s">
        <v>1004</v>
      </c>
      <c r="N146" s="30" t="s">
        <v>54</v>
      </c>
      <c r="O146" s="30"/>
      <c r="P146" s="30"/>
      <c r="Q146" s="30"/>
      <c r="R146" s="30"/>
      <c r="S146" s="30"/>
      <c r="T146" s="30"/>
      <c r="U146" s="30" t="n">
        <v>581.41</v>
      </c>
      <c r="V146" s="30" t="n">
        <v>578.6</v>
      </c>
      <c r="W146" s="30" t="n">
        <v>111.01</v>
      </c>
      <c r="X146" s="30" t="s">
        <v>1005</v>
      </c>
      <c r="Y146" s="30" t="n">
        <v>90.26</v>
      </c>
      <c r="Z146" s="30" t="s">
        <v>1005</v>
      </c>
      <c r="AA146" s="30" t="n">
        <v>100.08</v>
      </c>
      <c r="AB146" s="30" t="s">
        <v>1005</v>
      </c>
      <c r="AC146" s="30" t="n">
        <v>36.28</v>
      </c>
      <c r="AD146" s="30" t="s">
        <v>1005</v>
      </c>
      <c r="AE146" s="30" t="n">
        <v>23.3</v>
      </c>
      <c r="AF146" s="30" t="s">
        <v>1005</v>
      </c>
      <c r="AG146" s="30" t="n">
        <v>0</v>
      </c>
      <c r="AH146" s="30" t="s">
        <v>1006</v>
      </c>
      <c r="AI146" s="30" t="n">
        <v>0</v>
      </c>
      <c r="AJ146" s="30" t="s">
        <v>1006</v>
      </c>
      <c r="AK146" s="30" t="n">
        <v>0</v>
      </c>
      <c r="AL146" s="30" t="s">
        <v>1006</v>
      </c>
      <c r="AM146" s="30" t="n">
        <v>0</v>
      </c>
      <c r="AN146" s="30" t="s">
        <v>1005</v>
      </c>
      <c r="AO146" s="30" t="n">
        <v>49.02</v>
      </c>
      <c r="AP146" s="30" t="s">
        <v>1005</v>
      </c>
      <c r="AQ146" s="30" t="n">
        <v>54.73</v>
      </c>
      <c r="AR146" s="30" t="s">
        <v>1005</v>
      </c>
      <c r="AS146" s="30" t="n">
        <v>70.86</v>
      </c>
      <c r="AT146" s="30" t="s">
        <v>1005</v>
      </c>
      <c r="AU146" s="30" t="n">
        <v>535.54</v>
      </c>
      <c r="AV146" s="30" t="n">
        <v>0.24188</v>
      </c>
      <c r="AW146" s="30" t="s">
        <v>1007</v>
      </c>
      <c r="AX146" s="30" t="s">
        <v>1008</v>
      </c>
      <c r="AY146" s="30" t="n">
        <v>1</v>
      </c>
      <c r="AZ146" s="30"/>
    </row>
    <row collapsed="false" customFormat="true" customHeight="true" hidden="false" ht="33" outlineLevel="0" r="147" s="73">
      <c r="A147" s="30" t="n">
        <v>149</v>
      </c>
      <c r="B147" s="30" t="s">
        <v>256</v>
      </c>
      <c r="C147" s="30" t="s">
        <v>1009</v>
      </c>
      <c r="D147" s="30" t="s">
        <v>999</v>
      </c>
      <c r="E147" s="30" t="s">
        <v>1010</v>
      </c>
      <c r="F147" s="30" t="s">
        <v>1011</v>
      </c>
      <c r="G147" s="30" t="s">
        <v>1002</v>
      </c>
      <c r="H147" s="30" t="s">
        <v>1003</v>
      </c>
      <c r="I147" s="30" t="n">
        <v>1</v>
      </c>
      <c r="J147" s="30"/>
      <c r="K147" s="30" t="n">
        <v>57</v>
      </c>
      <c r="L147" s="30"/>
      <c r="M147" s="30" t="s">
        <v>1012</v>
      </c>
      <c r="N147" s="30" t="s">
        <v>54</v>
      </c>
      <c r="O147" s="30"/>
      <c r="P147" s="30"/>
      <c r="Q147" s="30"/>
      <c r="R147" s="30"/>
      <c r="S147" s="30"/>
      <c r="T147" s="30"/>
      <c r="U147" s="30" t="n">
        <v>193.35</v>
      </c>
      <c r="V147" s="30" t="n">
        <v>254.77</v>
      </c>
      <c r="W147" s="30" t="n">
        <v>50.57</v>
      </c>
      <c r="X147" s="30" t="s">
        <v>1005</v>
      </c>
      <c r="Y147" s="30" t="n">
        <v>37.13</v>
      </c>
      <c r="Z147" s="30" t="s">
        <v>1005</v>
      </c>
      <c r="AA147" s="30" t="n">
        <v>33.68</v>
      </c>
      <c r="AB147" s="30" t="s">
        <v>1006</v>
      </c>
      <c r="AC147" s="30" t="n">
        <v>15.27</v>
      </c>
      <c r="AD147" s="30" t="s">
        <v>1005</v>
      </c>
      <c r="AE147" s="30" t="n">
        <v>9.78</v>
      </c>
      <c r="AF147" s="30" t="s">
        <v>1006</v>
      </c>
      <c r="AG147" s="30" t="n">
        <v>0</v>
      </c>
      <c r="AH147" s="30" t="s">
        <v>1006</v>
      </c>
      <c r="AI147" s="30" t="n">
        <v>0</v>
      </c>
      <c r="AJ147" s="30" t="s">
        <v>1006</v>
      </c>
      <c r="AK147" s="30" t="n">
        <v>0</v>
      </c>
      <c r="AL147" s="30" t="s">
        <v>1006</v>
      </c>
      <c r="AM147" s="30" t="n">
        <v>0</v>
      </c>
      <c r="AN147" s="30" t="s">
        <v>1006</v>
      </c>
      <c r="AO147" s="30" t="n">
        <v>23.34</v>
      </c>
      <c r="AP147" s="30" t="s">
        <v>1005</v>
      </c>
      <c r="AQ147" s="30" t="n">
        <v>32.77</v>
      </c>
      <c r="AR147" s="30" t="s">
        <v>1006</v>
      </c>
      <c r="AS147" s="30" t="n">
        <v>42.69</v>
      </c>
      <c r="AT147" s="30" t="s">
        <v>1005</v>
      </c>
      <c r="AU147" s="30" t="n">
        <v>245.23</v>
      </c>
      <c r="AV147" s="30" t="n">
        <v>0.108</v>
      </c>
      <c r="AW147" s="30" t="s">
        <v>1013</v>
      </c>
      <c r="AX147" s="30" t="s">
        <v>1008</v>
      </c>
      <c r="AY147" s="30" t="n">
        <v>1</v>
      </c>
      <c r="AZ147" s="30"/>
    </row>
    <row collapsed="false" customFormat="true" customHeight="true" hidden="false" ht="33" outlineLevel="0" r="148" s="73">
      <c r="A148" s="30" t="n">
        <v>150</v>
      </c>
      <c r="B148" s="30" t="s">
        <v>257</v>
      </c>
      <c r="C148" s="30" t="s">
        <v>1009</v>
      </c>
      <c r="D148" s="30" t="s">
        <v>999</v>
      </c>
      <c r="E148" s="30" t="s">
        <v>1010</v>
      </c>
      <c r="F148" s="30" t="s">
        <v>1011</v>
      </c>
      <c r="G148" s="30" t="s">
        <v>1002</v>
      </c>
      <c r="H148" s="30" t="s">
        <v>1003</v>
      </c>
      <c r="I148" s="30" t="n">
        <v>1</v>
      </c>
      <c r="J148" s="30"/>
      <c r="K148" s="30" t="n">
        <v>57</v>
      </c>
      <c r="L148" s="30"/>
      <c r="M148" s="30" t="s">
        <v>1012</v>
      </c>
      <c r="N148" s="30" t="s">
        <v>54</v>
      </c>
      <c r="O148" s="30"/>
      <c r="P148" s="30"/>
      <c r="Q148" s="30"/>
      <c r="R148" s="30"/>
      <c r="S148" s="30"/>
      <c r="T148" s="30"/>
      <c r="U148" s="30" t="n">
        <v>258.48</v>
      </c>
      <c r="V148" s="30" t="n">
        <v>263.5</v>
      </c>
      <c r="W148" s="30" t="n">
        <v>53.26</v>
      </c>
      <c r="X148" s="30" t="s">
        <v>1006</v>
      </c>
      <c r="Y148" s="30" t="n">
        <v>46.17</v>
      </c>
      <c r="Z148" s="30" t="s">
        <v>1005</v>
      </c>
      <c r="AA148" s="30" t="n">
        <v>68.5</v>
      </c>
      <c r="AB148" s="30" t="s">
        <v>1005</v>
      </c>
      <c r="AC148" s="30" t="n">
        <v>51.94</v>
      </c>
      <c r="AD148" s="30" t="s">
        <v>1006</v>
      </c>
      <c r="AE148" s="30" t="n">
        <v>15.08</v>
      </c>
      <c r="AF148" s="30" t="s">
        <v>1006</v>
      </c>
      <c r="AG148" s="30" t="n">
        <v>0</v>
      </c>
      <c r="AH148" s="30" t="s">
        <v>1006</v>
      </c>
      <c r="AI148" s="30" t="n">
        <v>0</v>
      </c>
      <c r="AJ148" s="30" t="s">
        <v>1006</v>
      </c>
      <c r="AK148" s="30" t="n">
        <v>0</v>
      </c>
      <c r="AL148" s="30" t="s">
        <v>1006</v>
      </c>
      <c r="AM148" s="30" t="n">
        <v>0</v>
      </c>
      <c r="AN148" s="30" t="s">
        <v>1006</v>
      </c>
      <c r="AO148" s="30" t="n">
        <v>29.19</v>
      </c>
      <c r="AP148" s="30" t="s">
        <v>1005</v>
      </c>
      <c r="AQ148" s="30" t="n">
        <v>40.85</v>
      </c>
      <c r="AR148" s="30" t="s">
        <v>1005</v>
      </c>
      <c r="AS148" s="30" t="n">
        <v>56.75</v>
      </c>
      <c r="AT148" s="30" t="s">
        <v>1005</v>
      </c>
      <c r="AU148" s="30" t="n">
        <v>361.74</v>
      </c>
      <c r="AV148" s="30" t="n">
        <v>0.151</v>
      </c>
      <c r="AW148" s="30" t="s">
        <v>1013</v>
      </c>
      <c r="AX148" s="30" t="s">
        <v>1008</v>
      </c>
      <c r="AY148" s="30" t="n">
        <v>2</v>
      </c>
      <c r="AZ148" s="30"/>
    </row>
    <row collapsed="false" customFormat="true" customHeight="true" hidden="false" ht="33" outlineLevel="0" r="149" s="73">
      <c r="A149" s="30" t="n">
        <v>151</v>
      </c>
      <c r="B149" s="30" t="s">
        <v>258</v>
      </c>
      <c r="C149" s="30" t="s">
        <v>1009</v>
      </c>
      <c r="D149" s="30" t="s">
        <v>999</v>
      </c>
      <c r="E149" s="30" t="s">
        <v>1010</v>
      </c>
      <c r="F149" s="30" t="s">
        <v>1011</v>
      </c>
      <c r="G149" s="30" t="s">
        <v>1002</v>
      </c>
      <c r="H149" s="30" t="s">
        <v>1003</v>
      </c>
      <c r="I149" s="30" t="n">
        <v>1</v>
      </c>
      <c r="J149" s="30"/>
      <c r="K149" s="30" t="n">
        <v>45</v>
      </c>
      <c r="L149" s="30"/>
      <c r="M149" s="30" t="s">
        <v>1012</v>
      </c>
      <c r="N149" s="30" t="s">
        <v>54</v>
      </c>
      <c r="O149" s="30"/>
      <c r="P149" s="30"/>
      <c r="Q149" s="30"/>
      <c r="R149" s="30"/>
      <c r="S149" s="30"/>
      <c r="T149" s="30"/>
      <c r="U149" s="30" t="n">
        <v>2018.12</v>
      </c>
      <c r="V149" s="30" t="n">
        <v>232.07</v>
      </c>
      <c r="W149" s="30" t="n">
        <v>21.22</v>
      </c>
      <c r="X149" s="30" t="s">
        <v>1006</v>
      </c>
      <c r="Y149" s="30" t="n">
        <v>21.22</v>
      </c>
      <c r="Z149" s="30" t="s">
        <v>1006</v>
      </c>
      <c r="AA149" s="30" t="n">
        <v>21.22</v>
      </c>
      <c r="AB149" s="30" t="s">
        <v>1006</v>
      </c>
      <c r="AC149" s="30" t="n">
        <v>21.22</v>
      </c>
      <c r="AD149" s="30" t="s">
        <v>1006</v>
      </c>
      <c r="AE149" s="30" t="n">
        <v>7.8</v>
      </c>
      <c r="AF149" s="30" t="s">
        <v>1005</v>
      </c>
      <c r="AG149" s="30" t="n">
        <v>0</v>
      </c>
      <c r="AH149" s="30" t="s">
        <v>1005</v>
      </c>
      <c r="AI149" s="30" t="n">
        <v>0</v>
      </c>
      <c r="AJ149" s="30" t="s">
        <v>1005</v>
      </c>
      <c r="AK149" s="30" t="n">
        <v>0</v>
      </c>
      <c r="AL149" s="30" t="s">
        <v>1005</v>
      </c>
      <c r="AM149" s="30" t="n">
        <v>0</v>
      </c>
      <c r="AN149" s="30" t="s">
        <v>1005</v>
      </c>
      <c r="AO149" s="30" t="n">
        <v>20.76</v>
      </c>
      <c r="AP149" s="30" t="s">
        <v>1006</v>
      </c>
      <c r="AQ149" s="30" t="n">
        <v>27.38</v>
      </c>
      <c r="AR149" s="30" t="s">
        <v>1005</v>
      </c>
      <c r="AS149" s="30" t="n">
        <v>45.47</v>
      </c>
      <c r="AT149" s="30" t="s">
        <v>1005</v>
      </c>
      <c r="AU149" s="30" t="n">
        <v>186.29</v>
      </c>
      <c r="AV149" s="30" t="n">
        <v>0.082</v>
      </c>
      <c r="AW149" s="30" t="s">
        <v>1013</v>
      </c>
      <c r="AX149" s="30" t="s">
        <v>1008</v>
      </c>
      <c r="AY149" s="30" t="n">
        <v>1</v>
      </c>
      <c r="AZ149" s="30"/>
    </row>
    <row collapsed="false" customFormat="true" customHeight="true" hidden="false" ht="33" outlineLevel="0" r="150" s="73">
      <c r="A150" s="30" t="n">
        <v>152</v>
      </c>
      <c r="B150" s="30" t="s">
        <v>259</v>
      </c>
      <c r="C150" s="30" t="s">
        <v>1009</v>
      </c>
      <c r="D150" s="30" t="s">
        <v>999</v>
      </c>
      <c r="E150" s="30" t="s">
        <v>1010</v>
      </c>
      <c r="F150" s="30" t="s">
        <v>1011</v>
      </c>
      <c r="G150" s="30" t="s">
        <v>1002</v>
      </c>
      <c r="H150" s="30" t="s">
        <v>1003</v>
      </c>
      <c r="I150" s="30" t="n">
        <v>0</v>
      </c>
      <c r="J150" s="30"/>
      <c r="K150" s="30" t="n">
        <v>57</v>
      </c>
      <c r="L150" s="30"/>
      <c r="M150" s="30" t="s">
        <v>1012</v>
      </c>
      <c r="N150" s="30" t="s">
        <v>54</v>
      </c>
      <c r="O150" s="30"/>
      <c r="P150" s="30"/>
      <c r="Q150" s="30"/>
      <c r="R150" s="30"/>
      <c r="S150" s="30"/>
      <c r="T150" s="30"/>
      <c r="U150" s="30" t="n">
        <v>284.32</v>
      </c>
      <c r="V150" s="30" t="n">
        <v>307.8</v>
      </c>
      <c r="W150" s="30" t="n">
        <v>47.13</v>
      </c>
      <c r="X150" s="30" t="s">
        <v>1006</v>
      </c>
      <c r="Y150" s="30" t="n">
        <v>47.13</v>
      </c>
      <c r="Z150" s="30" t="s">
        <v>1006</v>
      </c>
      <c r="AA150" s="30" t="n">
        <v>47.13</v>
      </c>
      <c r="AB150" s="30" t="s">
        <v>1006</v>
      </c>
      <c r="AC150" s="30" t="n">
        <v>47.13</v>
      </c>
      <c r="AD150" s="30" t="s">
        <v>1006</v>
      </c>
      <c r="AE150" s="30" t="n">
        <v>13.68</v>
      </c>
      <c r="AF150" s="30" t="s">
        <v>1006</v>
      </c>
      <c r="AG150" s="30" t="n">
        <v>0</v>
      </c>
      <c r="AH150" s="30" t="s">
        <v>1006</v>
      </c>
      <c r="AI150" s="30" t="n">
        <v>0</v>
      </c>
      <c r="AJ150" s="30" t="s">
        <v>1006</v>
      </c>
      <c r="AK150" s="30" t="n">
        <v>0</v>
      </c>
      <c r="AL150" s="30" t="s">
        <v>1006</v>
      </c>
      <c r="AM150" s="30" t="n">
        <v>0</v>
      </c>
      <c r="AN150" s="30" t="s">
        <v>1006</v>
      </c>
      <c r="AO150" s="30" t="n">
        <v>44.95</v>
      </c>
      <c r="AP150" s="30" t="s">
        <v>1006</v>
      </c>
      <c r="AQ150" s="30" t="n">
        <v>44.95</v>
      </c>
      <c r="AR150" s="30" t="s">
        <v>1006</v>
      </c>
      <c r="AS150" s="30" t="n">
        <v>44.95</v>
      </c>
      <c r="AT150" s="30" t="s">
        <v>1005</v>
      </c>
      <c r="AU150" s="30" t="n">
        <v>337.05</v>
      </c>
      <c r="AV150" s="30" t="n">
        <v>0.17855</v>
      </c>
      <c r="AW150" s="30" t="s">
        <v>1013</v>
      </c>
      <c r="AX150" s="30" t="s">
        <v>1008</v>
      </c>
      <c r="AY150" s="30" t="n">
        <v>1</v>
      </c>
      <c r="AZ150" s="30"/>
    </row>
    <row collapsed="false" customFormat="true" customHeight="true" hidden="false" ht="33" outlineLevel="0" r="151" s="73">
      <c r="A151" s="30" t="n">
        <v>153</v>
      </c>
      <c r="B151" s="30" t="s">
        <v>261</v>
      </c>
      <c r="C151" s="30" t="s">
        <v>1009</v>
      </c>
      <c r="D151" s="30" t="s">
        <v>999</v>
      </c>
      <c r="E151" s="30" t="s">
        <v>1010</v>
      </c>
      <c r="F151" s="30" t="s">
        <v>1011</v>
      </c>
      <c r="G151" s="30" t="s">
        <v>1002</v>
      </c>
      <c r="H151" s="30" t="s">
        <v>1003</v>
      </c>
      <c r="I151" s="30" t="n">
        <v>1</v>
      </c>
      <c r="J151" s="30"/>
      <c r="K151" s="30" t="n">
        <v>57</v>
      </c>
      <c r="L151" s="30"/>
      <c r="M151" s="30" t="s">
        <v>1012</v>
      </c>
      <c r="N151" s="30" t="s">
        <v>54</v>
      </c>
      <c r="O151" s="30"/>
      <c r="P151" s="30"/>
      <c r="Q151" s="30"/>
      <c r="R151" s="30"/>
      <c r="S151" s="30"/>
      <c r="T151" s="30"/>
      <c r="U151" s="30" t="n">
        <v>368.01</v>
      </c>
      <c r="V151" s="30" t="n">
        <v>364.12</v>
      </c>
      <c r="W151" s="30" t="n">
        <v>78.52</v>
      </c>
      <c r="X151" s="30" t="s">
        <v>1005</v>
      </c>
      <c r="Y151" s="30" t="n">
        <v>46.38</v>
      </c>
      <c r="Z151" s="30" t="s">
        <v>1005</v>
      </c>
      <c r="AA151" s="30" t="n">
        <v>36.4</v>
      </c>
      <c r="AB151" s="30" t="s">
        <v>1006</v>
      </c>
      <c r="AC151" s="30" t="n">
        <v>36.4</v>
      </c>
      <c r="AD151" s="30" t="s">
        <v>1006</v>
      </c>
      <c r="AE151" s="30" t="n">
        <v>10.57</v>
      </c>
      <c r="AF151" s="30" t="s">
        <v>1006</v>
      </c>
      <c r="AG151" s="30" t="n">
        <v>0</v>
      </c>
      <c r="AH151" s="30" t="s">
        <v>1006</v>
      </c>
      <c r="AI151" s="30" t="n">
        <v>0</v>
      </c>
      <c r="AJ151" s="30" t="s">
        <v>1006</v>
      </c>
      <c r="AK151" s="30" t="n">
        <v>0</v>
      </c>
      <c r="AL151" s="30" t="s">
        <v>1006</v>
      </c>
      <c r="AM151" s="30" t="n">
        <v>0</v>
      </c>
      <c r="AN151" s="30" t="s">
        <v>1006</v>
      </c>
      <c r="AO151" s="30" t="n">
        <v>34.6</v>
      </c>
      <c r="AP151" s="30" t="s">
        <v>1006</v>
      </c>
      <c r="AQ151" s="30" t="n">
        <v>14.84</v>
      </c>
      <c r="AR151" s="30" t="s">
        <v>1005</v>
      </c>
      <c r="AS151" s="30" t="n">
        <v>29.52</v>
      </c>
      <c r="AT151" s="30" t="s">
        <v>1005</v>
      </c>
      <c r="AU151" s="30" t="n">
        <v>287.23</v>
      </c>
      <c r="AV151" s="30" t="n">
        <v>0.143</v>
      </c>
      <c r="AW151" s="30" t="s">
        <v>1013</v>
      </c>
      <c r="AX151" s="30" t="s">
        <v>1008</v>
      </c>
      <c r="AY151" s="30" t="n">
        <v>1</v>
      </c>
      <c r="AZ151" s="30"/>
    </row>
    <row collapsed="false" customFormat="true" customHeight="true" hidden="false" ht="33" outlineLevel="0" r="152" s="73">
      <c r="A152" s="30" t="n">
        <v>154</v>
      </c>
      <c r="B152" s="30" t="s">
        <v>263</v>
      </c>
      <c r="C152" s="30" t="s">
        <v>1009</v>
      </c>
      <c r="D152" s="30" t="s">
        <v>999</v>
      </c>
      <c r="E152" s="30" t="s">
        <v>1000</v>
      </c>
      <c r="F152" s="30" t="s">
        <v>1001</v>
      </c>
      <c r="G152" s="30" t="s">
        <v>1002</v>
      </c>
      <c r="H152" s="30" t="s">
        <v>1003</v>
      </c>
      <c r="I152" s="30" t="n">
        <v>1</v>
      </c>
      <c r="J152" s="30"/>
      <c r="K152" s="30" t="n">
        <v>40</v>
      </c>
      <c r="L152" s="30" t="n">
        <v>5.5</v>
      </c>
      <c r="M152" s="30" t="s">
        <v>1004</v>
      </c>
      <c r="N152" s="30" t="s">
        <v>54</v>
      </c>
      <c r="O152" s="30"/>
      <c r="P152" s="30"/>
      <c r="Q152" s="30"/>
      <c r="R152" s="30"/>
      <c r="S152" s="30"/>
      <c r="T152" s="30"/>
      <c r="U152" s="30" t="n">
        <v>170.75</v>
      </c>
      <c r="V152" s="30" t="n">
        <v>227.18</v>
      </c>
      <c r="W152" s="30" t="n">
        <v>41.17</v>
      </c>
      <c r="X152" s="30" t="s">
        <v>1005</v>
      </c>
      <c r="Y152" s="30" t="n">
        <v>26.22</v>
      </c>
      <c r="Z152" s="30" t="s">
        <v>1005</v>
      </c>
      <c r="AA152" s="30" t="n">
        <v>43.17</v>
      </c>
      <c r="AB152" s="30" t="s">
        <v>1005</v>
      </c>
      <c r="AC152" s="30" t="n">
        <v>13.79</v>
      </c>
      <c r="AD152" s="30" t="s">
        <v>1005</v>
      </c>
      <c r="AE152" s="30" t="n">
        <v>5.84</v>
      </c>
      <c r="AF152" s="30" t="s">
        <v>1005</v>
      </c>
      <c r="AG152" s="30" t="n">
        <v>0</v>
      </c>
      <c r="AH152" s="30" t="s">
        <v>1006</v>
      </c>
      <c r="AI152" s="30" t="n">
        <v>0</v>
      </c>
      <c r="AJ152" s="30" t="s">
        <v>1006</v>
      </c>
      <c r="AK152" s="30" t="n">
        <v>0</v>
      </c>
      <c r="AL152" s="30" t="s">
        <v>1006</v>
      </c>
      <c r="AM152" s="30" t="n">
        <v>0</v>
      </c>
      <c r="AN152" s="30"/>
      <c r="AO152" s="30" t="n">
        <v>16.07</v>
      </c>
      <c r="AP152" s="30" t="s">
        <v>1005</v>
      </c>
      <c r="AQ152" s="30" t="n">
        <v>16.53</v>
      </c>
      <c r="AR152" s="30" t="s">
        <v>1005</v>
      </c>
      <c r="AS152" s="30" t="n">
        <v>23.39</v>
      </c>
      <c r="AT152" s="30" t="s">
        <v>1005</v>
      </c>
      <c r="AU152" s="30" t="n">
        <v>186.18</v>
      </c>
      <c r="AV152" s="30" t="n">
        <v>0.04246</v>
      </c>
      <c r="AW152" s="30" t="s">
        <v>1007</v>
      </c>
      <c r="AX152" s="30" t="s">
        <v>1008</v>
      </c>
      <c r="AY152" s="30" t="n">
        <v>0</v>
      </c>
      <c r="AZ152" s="30"/>
    </row>
    <row collapsed="false" customFormat="true" customHeight="true" hidden="false" ht="33" outlineLevel="0" r="153" s="73">
      <c r="A153" s="30" t="n">
        <v>155</v>
      </c>
      <c r="B153" s="30" t="s">
        <v>264</v>
      </c>
      <c r="C153" s="30" t="s">
        <v>1009</v>
      </c>
      <c r="D153" s="30" t="s">
        <v>999</v>
      </c>
      <c r="E153" s="30" t="s">
        <v>1000</v>
      </c>
      <c r="F153" s="30" t="s">
        <v>1001</v>
      </c>
      <c r="G153" s="30" t="s">
        <v>1002</v>
      </c>
      <c r="H153" s="30" t="s">
        <v>1003</v>
      </c>
      <c r="I153" s="30" t="n">
        <v>1</v>
      </c>
      <c r="J153" s="30"/>
      <c r="K153" s="30" t="n">
        <v>65</v>
      </c>
      <c r="L153" s="30" t="n">
        <v>5.5</v>
      </c>
      <c r="M153" s="30" t="s">
        <v>1004</v>
      </c>
      <c r="N153" s="30" t="s">
        <v>54</v>
      </c>
      <c r="O153" s="30"/>
      <c r="P153" s="30"/>
      <c r="Q153" s="30"/>
      <c r="R153" s="30"/>
      <c r="S153" s="30"/>
      <c r="T153" s="30"/>
      <c r="U153" s="30" t="n">
        <v>117.57</v>
      </c>
      <c r="V153" s="30" t="n">
        <v>117.25</v>
      </c>
      <c r="W153" s="30" t="n">
        <v>15.08</v>
      </c>
      <c r="X153" s="30" t="s">
        <v>1006</v>
      </c>
      <c r="Y153" s="30" t="n">
        <v>15.08</v>
      </c>
      <c r="Z153" s="30" t="s">
        <v>1005</v>
      </c>
      <c r="AA153" s="30" t="n">
        <v>18.52</v>
      </c>
      <c r="AB153" s="30" t="s">
        <v>1005</v>
      </c>
      <c r="AC153" s="30" t="n">
        <v>6.95</v>
      </c>
      <c r="AD153" s="30" t="s">
        <v>1005</v>
      </c>
      <c r="AE153" s="30" t="n">
        <v>4.38</v>
      </c>
      <c r="AF153" s="30" t="s">
        <v>1005</v>
      </c>
      <c r="AG153" s="30" t="n">
        <v>0</v>
      </c>
      <c r="AH153" s="30" t="s">
        <v>1006</v>
      </c>
      <c r="AI153" s="30" t="n">
        <v>0</v>
      </c>
      <c r="AJ153" s="30" t="s">
        <v>1006</v>
      </c>
      <c r="AK153" s="30" t="n">
        <v>0</v>
      </c>
      <c r="AL153" s="30" t="s">
        <v>1006</v>
      </c>
      <c r="AM153" s="30" t="n">
        <v>0</v>
      </c>
      <c r="AN153" s="30"/>
      <c r="AO153" s="30" t="n">
        <v>8.15</v>
      </c>
      <c r="AP153" s="30" t="s">
        <v>1005</v>
      </c>
      <c r="AQ153" s="30" t="n">
        <v>8.44</v>
      </c>
      <c r="AR153" s="30" t="s">
        <v>1005</v>
      </c>
      <c r="AS153" s="30" t="n">
        <v>12.73</v>
      </c>
      <c r="AT153" s="30" t="s">
        <v>1005</v>
      </c>
      <c r="AU153" s="30" t="n">
        <v>89.33</v>
      </c>
      <c r="AV153" s="30" t="n">
        <v>0.06022</v>
      </c>
      <c r="AW153" s="30" t="s">
        <v>1007</v>
      </c>
      <c r="AX153" s="30" t="s">
        <v>1008</v>
      </c>
      <c r="AY153" s="30" t="n">
        <v>0</v>
      </c>
      <c r="AZ153" s="30"/>
    </row>
    <row collapsed="false" customFormat="true" customHeight="true" hidden="false" ht="33" outlineLevel="0" r="154" s="73">
      <c r="A154" s="30" t="n">
        <v>156</v>
      </c>
      <c r="B154" s="30" t="s">
        <v>265</v>
      </c>
      <c r="C154" s="30" t="s">
        <v>1009</v>
      </c>
      <c r="D154" s="30" t="s">
        <v>999</v>
      </c>
      <c r="E154" s="30" t="s">
        <v>1000</v>
      </c>
      <c r="F154" s="30" t="s">
        <v>1001</v>
      </c>
      <c r="G154" s="30" t="s">
        <v>1002</v>
      </c>
      <c r="H154" s="30" t="s">
        <v>1003</v>
      </c>
      <c r="I154" s="30" t="n">
        <v>1</v>
      </c>
      <c r="J154" s="30"/>
      <c r="K154" s="30" t="n">
        <v>50</v>
      </c>
      <c r="L154" s="30" t="n">
        <v>5.5</v>
      </c>
      <c r="M154" s="30" t="s">
        <v>1004</v>
      </c>
      <c r="N154" s="30" t="s">
        <v>54</v>
      </c>
      <c r="O154" s="30"/>
      <c r="P154" s="30"/>
      <c r="Q154" s="30"/>
      <c r="R154" s="30"/>
      <c r="S154" s="30"/>
      <c r="T154" s="30"/>
      <c r="U154" s="30" t="n">
        <v>170.98</v>
      </c>
      <c r="V154" s="30" t="n">
        <v>183.4</v>
      </c>
      <c r="W154" s="30" t="n">
        <v>19.28</v>
      </c>
      <c r="X154" s="30" t="s">
        <v>1006</v>
      </c>
      <c r="Y154" s="30" t="n">
        <v>19.28</v>
      </c>
      <c r="Z154" s="30" t="s">
        <v>1005</v>
      </c>
      <c r="AA154" s="30" t="n">
        <v>24.76</v>
      </c>
      <c r="AB154" s="30" t="s">
        <v>1005</v>
      </c>
      <c r="AC154" s="30" t="n">
        <v>10.13</v>
      </c>
      <c r="AD154" s="30" t="s">
        <v>1005</v>
      </c>
      <c r="AE154" s="30" t="n">
        <v>5.6</v>
      </c>
      <c r="AF154" s="30" t="s">
        <v>1005</v>
      </c>
      <c r="AG154" s="30" t="n">
        <v>0</v>
      </c>
      <c r="AH154" s="30" t="s">
        <v>1006</v>
      </c>
      <c r="AI154" s="30" t="n">
        <v>0</v>
      </c>
      <c r="AJ154" s="30" t="s">
        <v>1006</v>
      </c>
      <c r="AK154" s="30" t="n">
        <v>0</v>
      </c>
      <c r="AL154" s="30" t="s">
        <v>1006</v>
      </c>
      <c r="AM154" s="30" t="n">
        <v>0</v>
      </c>
      <c r="AN154" s="30"/>
      <c r="AO154" s="30" t="n">
        <v>11.14</v>
      </c>
      <c r="AP154" s="30" t="s">
        <v>1005</v>
      </c>
      <c r="AQ154" s="30" t="n">
        <v>11.85</v>
      </c>
      <c r="AR154" s="30" t="s">
        <v>1005</v>
      </c>
      <c r="AS154" s="30" t="n">
        <v>16.41</v>
      </c>
      <c r="AT154" s="30" t="s">
        <v>1005</v>
      </c>
      <c r="AU154" s="30" t="n">
        <v>118.45</v>
      </c>
      <c r="AV154" s="30" t="n">
        <v>0.05219</v>
      </c>
      <c r="AW154" s="30" t="s">
        <v>1007</v>
      </c>
      <c r="AX154" s="30" t="s">
        <v>1008</v>
      </c>
      <c r="AY154" s="30" t="n">
        <v>0</v>
      </c>
      <c r="AZ154" s="30"/>
    </row>
    <row collapsed="false" customFormat="true" customHeight="true" hidden="false" ht="33" outlineLevel="0" r="155" s="73">
      <c r="A155" s="30" t="n">
        <v>158</v>
      </c>
      <c r="B155" s="30" t="s">
        <v>268</v>
      </c>
      <c r="C155" s="30" t="s">
        <v>1009</v>
      </c>
      <c r="D155" s="30" t="s">
        <v>999</v>
      </c>
      <c r="E155" s="30" t="s">
        <v>1000</v>
      </c>
      <c r="F155" s="30" t="s">
        <v>1001</v>
      </c>
      <c r="G155" s="30" t="s">
        <v>1002</v>
      </c>
      <c r="H155" s="30" t="s">
        <v>1003</v>
      </c>
      <c r="I155" s="30" t="n">
        <v>1</v>
      </c>
      <c r="J155" s="30"/>
      <c r="K155" s="30" t="n">
        <v>40</v>
      </c>
      <c r="L155" s="30" t="n">
        <v>5.5</v>
      </c>
      <c r="M155" s="30" t="s">
        <v>1004</v>
      </c>
      <c r="N155" s="30" t="s">
        <v>54</v>
      </c>
      <c r="O155" s="30"/>
      <c r="P155" s="30"/>
      <c r="Q155" s="30"/>
      <c r="R155" s="30"/>
      <c r="S155" s="30"/>
      <c r="T155" s="30"/>
      <c r="U155" s="30" t="n">
        <v>72.59</v>
      </c>
      <c r="V155" s="30" t="n">
        <v>112.73</v>
      </c>
      <c r="W155" s="30" t="n">
        <v>20.03</v>
      </c>
      <c r="X155" s="30" t="s">
        <v>1006</v>
      </c>
      <c r="Y155" s="30" t="n">
        <v>20.03</v>
      </c>
      <c r="Z155" s="30" t="s">
        <v>1005</v>
      </c>
      <c r="AA155" s="30" t="n">
        <v>20.03</v>
      </c>
      <c r="AB155" s="30" t="s">
        <v>1005</v>
      </c>
      <c r="AC155" s="30" t="n">
        <v>6.06</v>
      </c>
      <c r="AD155" s="30" t="s">
        <v>1005</v>
      </c>
      <c r="AE155" s="30" t="n">
        <v>5.82</v>
      </c>
      <c r="AF155" s="30" t="s">
        <v>1005</v>
      </c>
      <c r="AG155" s="30" t="n">
        <v>0</v>
      </c>
      <c r="AH155" s="30" t="s">
        <v>1006</v>
      </c>
      <c r="AI155" s="30" t="n">
        <v>0</v>
      </c>
      <c r="AJ155" s="30" t="s">
        <v>1006</v>
      </c>
      <c r="AK155" s="30" t="n">
        <v>0</v>
      </c>
      <c r="AL155" s="30" t="s">
        <v>1006</v>
      </c>
      <c r="AM155" s="30" t="n">
        <v>0</v>
      </c>
      <c r="AN155" s="30"/>
      <c r="AO155" s="30" t="n">
        <v>6.99</v>
      </c>
      <c r="AP155" s="30" t="s">
        <v>1005</v>
      </c>
      <c r="AQ155" s="30" t="n">
        <v>6.65</v>
      </c>
      <c r="AR155" s="30" t="s">
        <v>1005</v>
      </c>
      <c r="AS155" s="30" t="n">
        <v>8.55</v>
      </c>
      <c r="AT155" s="30" t="s">
        <v>1005</v>
      </c>
      <c r="AU155" s="30" t="n">
        <v>94.16</v>
      </c>
      <c r="AV155" s="30" t="n">
        <v>0.01807</v>
      </c>
      <c r="AW155" s="30" t="s">
        <v>1007</v>
      </c>
      <c r="AX155" s="30" t="s">
        <v>1008</v>
      </c>
      <c r="AY155" s="30" t="n">
        <v>0</v>
      </c>
      <c r="AZ155" s="30"/>
    </row>
    <row collapsed="false" customFormat="true" customHeight="true" hidden="false" ht="33" outlineLevel="0" r="156" s="73">
      <c r="A156" s="30" t="n">
        <v>159</v>
      </c>
      <c r="B156" s="30" t="s">
        <v>270</v>
      </c>
      <c r="C156" s="30" t="s">
        <v>1009</v>
      </c>
      <c r="D156" s="30" t="s">
        <v>999</v>
      </c>
      <c r="E156" s="30" t="s">
        <v>1000</v>
      </c>
      <c r="F156" s="30" t="s">
        <v>1001</v>
      </c>
      <c r="G156" s="30" t="s">
        <v>1002</v>
      </c>
      <c r="H156" s="30" t="s">
        <v>1003</v>
      </c>
      <c r="I156" s="30" t="n">
        <v>1</v>
      </c>
      <c r="J156" s="30"/>
      <c r="K156" s="30" t="n">
        <v>65</v>
      </c>
      <c r="L156" s="30" t="n">
        <v>5.5</v>
      </c>
      <c r="M156" s="30" t="s">
        <v>1004</v>
      </c>
      <c r="N156" s="30" t="s">
        <v>54</v>
      </c>
      <c r="O156" s="30"/>
      <c r="P156" s="30"/>
      <c r="Q156" s="30"/>
      <c r="R156" s="30"/>
      <c r="S156" s="30"/>
      <c r="T156" s="30"/>
      <c r="U156" s="30" t="n">
        <v>388.04</v>
      </c>
      <c r="V156" s="30" t="n">
        <v>481.99</v>
      </c>
      <c r="W156" s="30" t="n">
        <v>58.83</v>
      </c>
      <c r="X156" s="30" t="s">
        <v>1005</v>
      </c>
      <c r="Y156" s="30" t="n">
        <v>36.98</v>
      </c>
      <c r="Z156" s="30" t="s">
        <v>1005</v>
      </c>
      <c r="AA156" s="30" t="n">
        <v>58.83</v>
      </c>
      <c r="AB156" s="30" t="s">
        <v>1005</v>
      </c>
      <c r="AC156" s="30" t="n">
        <v>35.94</v>
      </c>
      <c r="AD156" s="30" t="s">
        <v>1005</v>
      </c>
      <c r="AE156" s="30" t="n">
        <v>17.08</v>
      </c>
      <c r="AF156" s="30" t="s">
        <v>1005</v>
      </c>
      <c r="AG156" s="30" t="n">
        <v>0</v>
      </c>
      <c r="AH156" s="30" t="s">
        <v>1006</v>
      </c>
      <c r="AI156" s="30" t="n">
        <v>0</v>
      </c>
      <c r="AJ156" s="30" t="s">
        <v>1006</v>
      </c>
      <c r="AK156" s="30" t="n">
        <v>0</v>
      </c>
      <c r="AL156" s="30" t="s">
        <v>1006</v>
      </c>
      <c r="AM156" s="30" t="n">
        <v>0</v>
      </c>
      <c r="AN156" s="30"/>
      <c r="AO156" s="30" t="n">
        <v>34.01</v>
      </c>
      <c r="AP156" s="30" t="s">
        <v>1005</v>
      </c>
      <c r="AQ156" s="30" t="n">
        <v>38.36</v>
      </c>
      <c r="AR156" s="30" t="s">
        <v>1005</v>
      </c>
      <c r="AS156" s="30" t="n">
        <v>58.69</v>
      </c>
      <c r="AT156" s="30" t="s">
        <v>1005</v>
      </c>
      <c r="AU156" s="30" t="n">
        <v>338.72</v>
      </c>
      <c r="AV156" s="30" t="n">
        <v>0.12343</v>
      </c>
      <c r="AW156" s="30" t="s">
        <v>1007</v>
      </c>
      <c r="AX156" s="30" t="s">
        <v>1008</v>
      </c>
      <c r="AY156" s="30" t="n">
        <v>0</v>
      </c>
      <c r="AZ156" s="30"/>
    </row>
    <row collapsed="false" customFormat="true" customHeight="true" hidden="false" ht="33" outlineLevel="0" r="157" s="73">
      <c r="A157" s="30" t="n">
        <v>160</v>
      </c>
      <c r="B157" s="30" t="s">
        <v>271</v>
      </c>
      <c r="C157" s="30" t="s">
        <v>1009</v>
      </c>
      <c r="D157" s="30" t="s">
        <v>999</v>
      </c>
      <c r="E157" s="30" t="s">
        <v>1000</v>
      </c>
      <c r="F157" s="30" t="s">
        <v>1001</v>
      </c>
      <c r="G157" s="30" t="s">
        <v>1002</v>
      </c>
      <c r="H157" s="30" t="s">
        <v>1003</v>
      </c>
      <c r="I157" s="30" t="n">
        <v>1</v>
      </c>
      <c r="J157" s="30"/>
      <c r="K157" s="30" t="n">
        <v>65</v>
      </c>
      <c r="L157" s="30" t="n">
        <v>5.5</v>
      </c>
      <c r="M157" s="30" t="s">
        <v>1004</v>
      </c>
      <c r="N157" s="30" t="s">
        <v>54</v>
      </c>
      <c r="O157" s="30"/>
      <c r="P157" s="30"/>
      <c r="Q157" s="30"/>
      <c r="R157" s="30"/>
      <c r="S157" s="30"/>
      <c r="T157" s="30"/>
      <c r="U157" s="30" t="n">
        <v>234.03</v>
      </c>
      <c r="V157" s="30" t="n">
        <v>189.76</v>
      </c>
      <c r="W157" s="30" t="n">
        <v>28.59</v>
      </c>
      <c r="X157" s="30" t="s">
        <v>1005</v>
      </c>
      <c r="Y157" s="30" t="n">
        <v>28.59</v>
      </c>
      <c r="Z157" s="30" t="s">
        <v>1005</v>
      </c>
      <c r="AA157" s="30" t="n">
        <v>28.59</v>
      </c>
      <c r="AB157" s="30" t="s">
        <v>1005</v>
      </c>
      <c r="AC157" s="30" t="n">
        <v>13.89</v>
      </c>
      <c r="AD157" s="30" t="s">
        <v>1005</v>
      </c>
      <c r="AE157" s="30" t="n">
        <v>8.3</v>
      </c>
      <c r="AF157" s="30" t="s">
        <v>1005</v>
      </c>
      <c r="AG157" s="30" t="n">
        <v>0</v>
      </c>
      <c r="AH157" s="30" t="s">
        <v>1006</v>
      </c>
      <c r="AI157" s="30" t="n">
        <v>0</v>
      </c>
      <c r="AJ157" s="30" t="s">
        <v>1006</v>
      </c>
      <c r="AK157" s="30" t="n">
        <v>0</v>
      </c>
      <c r="AL157" s="30" t="s">
        <v>1006</v>
      </c>
      <c r="AM157" s="30" t="n">
        <v>0</v>
      </c>
      <c r="AN157" s="30"/>
      <c r="AO157" s="30" t="n">
        <v>11.34</v>
      </c>
      <c r="AP157" s="30" t="s">
        <v>1005</v>
      </c>
      <c r="AQ157" s="30" t="n">
        <v>14.14</v>
      </c>
      <c r="AR157" s="30" t="s">
        <v>1005</v>
      </c>
      <c r="AS157" s="30" t="n">
        <v>19.94</v>
      </c>
      <c r="AT157" s="30" t="s">
        <v>1005</v>
      </c>
      <c r="AU157" s="30" t="n">
        <v>153.38</v>
      </c>
      <c r="AV157" s="30" t="n">
        <v>0.07086</v>
      </c>
      <c r="AW157" s="30" t="s">
        <v>1007</v>
      </c>
      <c r="AX157" s="30" t="s">
        <v>1008</v>
      </c>
      <c r="AY157" s="30" t="n">
        <v>0</v>
      </c>
      <c r="AZ157" s="30"/>
    </row>
    <row collapsed="false" customFormat="true" customHeight="true" hidden="false" ht="33" outlineLevel="0" r="158" s="73">
      <c r="A158" s="30" t="n">
        <v>161</v>
      </c>
      <c r="B158" s="30" t="s">
        <v>272</v>
      </c>
      <c r="C158" s="30" t="s">
        <v>1009</v>
      </c>
      <c r="D158" s="30" t="s">
        <v>999</v>
      </c>
      <c r="E158" s="30" t="s">
        <v>1000</v>
      </c>
      <c r="F158" s="30" t="s">
        <v>1001</v>
      </c>
      <c r="G158" s="30" t="s">
        <v>1002</v>
      </c>
      <c r="H158" s="30" t="s">
        <v>1003</v>
      </c>
      <c r="I158" s="30" t="n">
        <v>1</v>
      </c>
      <c r="J158" s="30"/>
      <c r="K158" s="30" t="n">
        <v>65</v>
      </c>
      <c r="L158" s="30" t="n">
        <v>5.5</v>
      </c>
      <c r="M158" s="30" t="s">
        <v>1004</v>
      </c>
      <c r="N158" s="30" t="s">
        <v>54</v>
      </c>
      <c r="O158" s="30"/>
      <c r="P158" s="30"/>
      <c r="Q158" s="30"/>
      <c r="R158" s="30"/>
      <c r="S158" s="30"/>
      <c r="T158" s="30"/>
      <c r="U158" s="30" t="n">
        <v>318.36</v>
      </c>
      <c r="V158" s="30" t="n">
        <v>355.94</v>
      </c>
      <c r="W158" s="30" t="n">
        <v>59.57</v>
      </c>
      <c r="X158" s="30" t="s">
        <v>1005</v>
      </c>
      <c r="Y158" s="30" t="n">
        <v>48.88</v>
      </c>
      <c r="Z158" s="30" t="s">
        <v>1005</v>
      </c>
      <c r="AA158" s="30" t="n">
        <v>66.61</v>
      </c>
      <c r="AB158" s="30" t="s">
        <v>1005</v>
      </c>
      <c r="AC158" s="30" t="n">
        <v>19.71</v>
      </c>
      <c r="AD158" s="30" t="s">
        <v>1005</v>
      </c>
      <c r="AE158" s="30" t="n">
        <v>12.4</v>
      </c>
      <c r="AF158" s="30" t="s">
        <v>1005</v>
      </c>
      <c r="AG158" s="30" t="n">
        <v>0</v>
      </c>
      <c r="AH158" s="30" t="s">
        <v>1006</v>
      </c>
      <c r="AI158" s="30" t="n">
        <v>0</v>
      </c>
      <c r="AJ158" s="30" t="s">
        <v>1006</v>
      </c>
      <c r="AK158" s="30" t="n">
        <v>0</v>
      </c>
      <c r="AL158" s="30" t="s">
        <v>1006</v>
      </c>
      <c r="AM158" s="30" t="n">
        <v>0</v>
      </c>
      <c r="AN158" s="30"/>
      <c r="AO158" s="30" t="n">
        <v>25.37</v>
      </c>
      <c r="AP158" s="30" t="s">
        <v>1005</v>
      </c>
      <c r="AQ158" s="30" t="n">
        <v>29.01</v>
      </c>
      <c r="AR158" s="30" t="s">
        <v>1005</v>
      </c>
      <c r="AS158" s="30" t="n">
        <v>43.07</v>
      </c>
      <c r="AT158" s="30" t="s">
        <v>1005</v>
      </c>
      <c r="AU158" s="30" t="n">
        <v>304.62</v>
      </c>
      <c r="AV158" s="30" t="n">
        <v>0.12646</v>
      </c>
      <c r="AW158" s="30" t="s">
        <v>1007</v>
      </c>
      <c r="AX158" s="30" t="s">
        <v>1008</v>
      </c>
      <c r="AY158" s="30" t="n">
        <v>0</v>
      </c>
      <c r="AZ158" s="30"/>
    </row>
    <row collapsed="false" customFormat="true" customHeight="true" hidden="false" ht="33" outlineLevel="0" r="159" s="73">
      <c r="A159" s="30" t="n">
        <v>163</v>
      </c>
      <c r="B159" s="30" t="s">
        <v>275</v>
      </c>
      <c r="C159" s="30" t="s">
        <v>1009</v>
      </c>
      <c r="D159" s="30" t="s">
        <v>999</v>
      </c>
      <c r="E159" s="30" t="s">
        <v>1000</v>
      </c>
      <c r="F159" s="30" t="s">
        <v>1001</v>
      </c>
      <c r="G159" s="30" t="s">
        <v>1002</v>
      </c>
      <c r="H159" s="30" t="s">
        <v>1003</v>
      </c>
      <c r="I159" s="30" t="n">
        <v>1</v>
      </c>
      <c r="J159" s="30"/>
      <c r="K159" s="30" t="n">
        <v>50</v>
      </c>
      <c r="L159" s="30" t="n">
        <v>5.5</v>
      </c>
      <c r="M159" s="30" t="s">
        <v>1004</v>
      </c>
      <c r="N159" s="30" t="s">
        <v>54</v>
      </c>
      <c r="O159" s="30"/>
      <c r="P159" s="30"/>
      <c r="Q159" s="30"/>
      <c r="R159" s="30"/>
      <c r="S159" s="30"/>
      <c r="T159" s="30"/>
      <c r="U159" s="30" t="n">
        <v>160.27</v>
      </c>
      <c r="V159" s="30" t="n">
        <v>260.57</v>
      </c>
      <c r="W159" s="30" t="n">
        <v>48.84</v>
      </c>
      <c r="X159" s="30" t="s">
        <v>1006</v>
      </c>
      <c r="Y159" s="30" t="n">
        <v>48.84</v>
      </c>
      <c r="Z159" s="30" t="s">
        <v>1005</v>
      </c>
      <c r="AA159" s="30" t="n">
        <v>48.84</v>
      </c>
      <c r="AB159" s="30" t="s">
        <v>1005</v>
      </c>
      <c r="AC159" s="30" t="n">
        <v>48.84</v>
      </c>
      <c r="AD159" s="30" t="s">
        <v>1005</v>
      </c>
      <c r="AE159" s="30" t="n">
        <v>14.18</v>
      </c>
      <c r="AF159" s="30" t="s">
        <v>1005</v>
      </c>
      <c r="AG159" s="30" t="n">
        <v>0</v>
      </c>
      <c r="AH159" s="30" t="s">
        <v>1006</v>
      </c>
      <c r="AI159" s="30" t="n">
        <v>0</v>
      </c>
      <c r="AJ159" s="30" t="s">
        <v>1006</v>
      </c>
      <c r="AK159" s="30" t="n">
        <v>0</v>
      </c>
      <c r="AL159" s="30" t="s">
        <v>1006</v>
      </c>
      <c r="AM159" s="30" t="n">
        <v>0</v>
      </c>
      <c r="AN159" s="30"/>
      <c r="AO159" s="30" t="n">
        <v>53.16</v>
      </c>
      <c r="AP159" s="30" t="s">
        <v>1005</v>
      </c>
      <c r="AQ159" s="30" t="n">
        <v>53.16</v>
      </c>
      <c r="AR159" s="30" t="s">
        <v>1005</v>
      </c>
      <c r="AS159" s="30" t="n">
        <v>30.79</v>
      </c>
      <c r="AT159" s="30" t="s">
        <v>1005</v>
      </c>
      <c r="AU159" s="30" t="n">
        <v>346.65</v>
      </c>
      <c r="AV159" s="30" t="n">
        <v>0.06925</v>
      </c>
      <c r="AW159" s="30" t="s">
        <v>1007</v>
      </c>
      <c r="AX159" s="30" t="s">
        <v>1008</v>
      </c>
      <c r="AY159" s="30" t="n">
        <v>0</v>
      </c>
      <c r="AZ159" s="30"/>
    </row>
    <row collapsed="false" customFormat="true" customHeight="true" hidden="false" ht="33" outlineLevel="0" r="160" s="73">
      <c r="A160" s="30" t="n">
        <v>164</v>
      </c>
      <c r="B160" s="30" t="s">
        <v>276</v>
      </c>
      <c r="C160" s="30" t="s">
        <v>1009</v>
      </c>
      <c r="D160" s="30" t="s">
        <v>999</v>
      </c>
      <c r="E160" s="30" t="s">
        <v>1000</v>
      </c>
      <c r="F160" s="30" t="s">
        <v>1001</v>
      </c>
      <c r="G160" s="30" t="s">
        <v>1002</v>
      </c>
      <c r="H160" s="30" t="s">
        <v>1003</v>
      </c>
      <c r="I160" s="30" t="n">
        <v>1</v>
      </c>
      <c r="J160" s="30"/>
      <c r="K160" s="30" t="n">
        <v>65</v>
      </c>
      <c r="L160" s="30" t="n">
        <v>5.5</v>
      </c>
      <c r="M160" s="30" t="s">
        <v>1004</v>
      </c>
      <c r="N160" s="30" t="s">
        <v>54</v>
      </c>
      <c r="O160" s="30"/>
      <c r="P160" s="30"/>
      <c r="Q160" s="30"/>
      <c r="R160" s="30"/>
      <c r="S160" s="30"/>
      <c r="T160" s="30"/>
      <c r="U160" s="30" t="n">
        <v>54.08</v>
      </c>
      <c r="V160" s="30" t="n">
        <v>416.11</v>
      </c>
      <c r="W160" s="30" t="n">
        <v>61.95</v>
      </c>
      <c r="X160" s="30" t="s">
        <v>1005</v>
      </c>
      <c r="Y160" s="30" t="n">
        <v>40.89</v>
      </c>
      <c r="Z160" s="30" t="s">
        <v>1005</v>
      </c>
      <c r="AA160" s="30" t="n">
        <v>55.61</v>
      </c>
      <c r="AB160" s="30" t="s">
        <v>1005</v>
      </c>
      <c r="AC160" s="30" t="n">
        <v>22.56</v>
      </c>
      <c r="AD160" s="30" t="s">
        <v>1005</v>
      </c>
      <c r="AE160" s="30" t="n">
        <v>17.99</v>
      </c>
      <c r="AF160" s="30" t="s">
        <v>1005</v>
      </c>
      <c r="AG160" s="30" t="n">
        <v>0</v>
      </c>
      <c r="AH160" s="30" t="s">
        <v>1006</v>
      </c>
      <c r="AI160" s="30" t="n">
        <v>0</v>
      </c>
      <c r="AJ160" s="30" t="s">
        <v>1006</v>
      </c>
      <c r="AK160" s="30" t="n">
        <v>0</v>
      </c>
      <c r="AL160" s="30" t="s">
        <v>1006</v>
      </c>
      <c r="AM160" s="30" t="n">
        <v>0</v>
      </c>
      <c r="AN160" s="30"/>
      <c r="AO160" s="30" t="n">
        <v>24.38</v>
      </c>
      <c r="AP160" s="30" t="s">
        <v>1005</v>
      </c>
      <c r="AQ160" s="30" t="n">
        <v>26.22</v>
      </c>
      <c r="AR160" s="30" t="s">
        <v>1005</v>
      </c>
      <c r="AS160" s="30" t="n">
        <v>38.72</v>
      </c>
      <c r="AT160" s="30" t="s">
        <v>1005</v>
      </c>
      <c r="AU160" s="30" t="n">
        <v>288.32</v>
      </c>
      <c r="AV160" s="30" t="n">
        <v>0.07929</v>
      </c>
      <c r="AW160" s="30" t="s">
        <v>1007</v>
      </c>
      <c r="AX160" s="30" t="s">
        <v>1008</v>
      </c>
      <c r="AY160" s="30" t="n">
        <v>0</v>
      </c>
      <c r="AZ160" s="30"/>
    </row>
    <row collapsed="false" customFormat="true" customHeight="true" hidden="false" ht="33" outlineLevel="0" r="161" s="73">
      <c r="A161" s="30" t="n">
        <v>167</v>
      </c>
      <c r="B161" s="30" t="s">
        <v>282</v>
      </c>
      <c r="C161" s="30" t="s">
        <v>1009</v>
      </c>
      <c r="D161" s="30" t="s">
        <v>999</v>
      </c>
      <c r="E161" s="30" t="s">
        <v>1000</v>
      </c>
      <c r="F161" s="30" t="s">
        <v>1001</v>
      </c>
      <c r="G161" s="30" t="s">
        <v>1002</v>
      </c>
      <c r="H161" s="30" t="s">
        <v>1003</v>
      </c>
      <c r="I161" s="30" t="n">
        <v>1</v>
      </c>
      <c r="J161" s="30"/>
      <c r="K161" s="30" t="n">
        <v>50</v>
      </c>
      <c r="L161" s="30" t="n">
        <v>5.5</v>
      </c>
      <c r="M161" s="30" t="s">
        <v>1004</v>
      </c>
      <c r="N161" s="30" t="s">
        <v>54</v>
      </c>
      <c r="O161" s="30"/>
      <c r="P161" s="30"/>
      <c r="Q161" s="30"/>
      <c r="R161" s="30"/>
      <c r="S161" s="30"/>
      <c r="T161" s="30"/>
      <c r="U161" s="30" t="n">
        <v>130.88</v>
      </c>
      <c r="V161" s="30" t="n">
        <v>115.71</v>
      </c>
      <c r="W161" s="30" t="n">
        <v>12.05</v>
      </c>
      <c r="X161" s="30" t="s">
        <v>1005</v>
      </c>
      <c r="Y161" s="30" t="n">
        <v>12.05</v>
      </c>
      <c r="Z161" s="30" t="s">
        <v>1005</v>
      </c>
      <c r="AA161" s="30" t="n">
        <v>12.05</v>
      </c>
      <c r="AB161" s="30" t="s">
        <v>1005</v>
      </c>
      <c r="AC161" s="30" t="n">
        <v>10.28</v>
      </c>
      <c r="AD161" s="30" t="s">
        <v>1005</v>
      </c>
      <c r="AE161" s="30" t="n">
        <v>3.5</v>
      </c>
      <c r="AF161" s="30" t="s">
        <v>1005</v>
      </c>
      <c r="AG161" s="30" t="n">
        <v>0</v>
      </c>
      <c r="AH161" s="30" t="s">
        <v>1006</v>
      </c>
      <c r="AI161" s="30" t="n">
        <v>0</v>
      </c>
      <c r="AJ161" s="30" t="s">
        <v>1006</v>
      </c>
      <c r="AK161" s="30" t="n">
        <v>0</v>
      </c>
      <c r="AL161" s="30" t="s">
        <v>1006</v>
      </c>
      <c r="AM161" s="30" t="n">
        <v>0</v>
      </c>
      <c r="AN161" s="30"/>
      <c r="AO161" s="30" t="n">
        <v>13.16</v>
      </c>
      <c r="AP161" s="30" t="s">
        <v>1005</v>
      </c>
      <c r="AQ161" s="30" t="n">
        <v>6.94</v>
      </c>
      <c r="AR161" s="30" t="s">
        <v>1005</v>
      </c>
      <c r="AS161" s="30" t="n">
        <v>13.35</v>
      </c>
      <c r="AT161" s="30" t="s">
        <v>1005</v>
      </c>
      <c r="AU161" s="30" t="n">
        <v>83.38</v>
      </c>
      <c r="AV161" s="30" t="n">
        <v>0.04517</v>
      </c>
      <c r="AW161" s="30" t="s">
        <v>1007</v>
      </c>
      <c r="AX161" s="30" t="s">
        <v>1008</v>
      </c>
      <c r="AY161" s="30" t="n">
        <v>0</v>
      </c>
      <c r="AZ161" s="30"/>
    </row>
    <row collapsed="false" customFormat="true" customHeight="true" hidden="false" ht="33" outlineLevel="0" r="162" s="73">
      <c r="A162" s="30" t="n">
        <v>168</v>
      </c>
      <c r="B162" s="30" t="s">
        <v>283</v>
      </c>
      <c r="C162" s="30" t="s">
        <v>1009</v>
      </c>
      <c r="D162" s="30" t="s">
        <v>999</v>
      </c>
      <c r="E162" s="30" t="s">
        <v>1000</v>
      </c>
      <c r="F162" s="30" t="s">
        <v>1001</v>
      </c>
      <c r="G162" s="30" t="s">
        <v>1002</v>
      </c>
      <c r="H162" s="30" t="s">
        <v>1003</v>
      </c>
      <c r="I162" s="30" t="n">
        <v>1</v>
      </c>
      <c r="J162" s="30"/>
      <c r="K162" s="30" t="n">
        <v>80</v>
      </c>
      <c r="L162" s="30" t="n">
        <v>5.5</v>
      </c>
      <c r="M162" s="30" t="s">
        <v>1004</v>
      </c>
      <c r="N162" s="30" t="s">
        <v>54</v>
      </c>
      <c r="O162" s="30"/>
      <c r="P162" s="30"/>
      <c r="Q162" s="30"/>
      <c r="R162" s="30"/>
      <c r="S162" s="30"/>
      <c r="T162" s="30"/>
      <c r="U162" s="30" t="n">
        <v>205.97</v>
      </c>
      <c r="V162" s="30" t="n">
        <v>239.25</v>
      </c>
      <c r="W162" s="30" t="n">
        <v>44.83</v>
      </c>
      <c r="X162" s="30" t="s">
        <v>1005</v>
      </c>
      <c r="Y162" s="30" t="n">
        <v>28.3</v>
      </c>
      <c r="Z162" s="30" t="s">
        <v>1005</v>
      </c>
      <c r="AA162" s="30" t="n">
        <v>38.05</v>
      </c>
      <c r="AB162" s="30" t="s">
        <v>1005</v>
      </c>
      <c r="AC162" s="30" t="n">
        <v>22.62</v>
      </c>
      <c r="AD162" s="30" t="s">
        <v>1005</v>
      </c>
      <c r="AE162" s="30" t="n">
        <v>8.1</v>
      </c>
      <c r="AF162" s="30" t="s">
        <v>1005</v>
      </c>
      <c r="AG162" s="30" t="n">
        <v>0</v>
      </c>
      <c r="AH162" s="30" t="s">
        <v>1006</v>
      </c>
      <c r="AI162" s="30" t="n">
        <v>0</v>
      </c>
      <c r="AJ162" s="30" t="s">
        <v>1006</v>
      </c>
      <c r="AK162" s="30" t="n">
        <v>0</v>
      </c>
      <c r="AL162" s="30" t="s">
        <v>1006</v>
      </c>
      <c r="AM162" s="30" t="n">
        <v>0</v>
      </c>
      <c r="AN162" s="30"/>
      <c r="AO162" s="30" t="n">
        <v>29.33</v>
      </c>
      <c r="AP162" s="30" t="s">
        <v>1006</v>
      </c>
      <c r="AQ162" s="30" t="n">
        <v>29.33</v>
      </c>
      <c r="AR162" s="30" t="s">
        <v>1006</v>
      </c>
      <c r="AS162" s="30" t="n">
        <v>29.33</v>
      </c>
      <c r="AT162" s="30" t="s">
        <v>1006</v>
      </c>
      <c r="AU162" s="30" t="n">
        <v>229.89</v>
      </c>
      <c r="AV162" s="30" t="n">
        <v>0.10338</v>
      </c>
      <c r="AW162" s="30" t="s">
        <v>1007</v>
      </c>
      <c r="AX162" s="30" t="s">
        <v>1008</v>
      </c>
      <c r="AY162" s="30" t="n">
        <v>0</v>
      </c>
      <c r="AZ162" s="30"/>
    </row>
    <row collapsed="false" customFormat="true" customHeight="true" hidden="false" ht="33" outlineLevel="0" r="163" s="73">
      <c r="A163" s="30" t="n">
        <v>169</v>
      </c>
      <c r="B163" s="30" t="s">
        <v>285</v>
      </c>
      <c r="C163" s="30" t="s">
        <v>1009</v>
      </c>
      <c r="D163" s="30" t="s">
        <v>999</v>
      </c>
      <c r="E163" s="30" t="s">
        <v>1000</v>
      </c>
      <c r="F163" s="30" t="s">
        <v>1001</v>
      </c>
      <c r="G163" s="30" t="s">
        <v>1002</v>
      </c>
      <c r="H163" s="30" t="s">
        <v>1003</v>
      </c>
      <c r="I163" s="30" t="n">
        <v>1</v>
      </c>
      <c r="J163" s="30"/>
      <c r="K163" s="30" t="n">
        <v>80</v>
      </c>
      <c r="L163" s="30" t="n">
        <v>5.5</v>
      </c>
      <c r="M163" s="30" t="s">
        <v>1004</v>
      </c>
      <c r="N163" s="30" t="s">
        <v>54</v>
      </c>
      <c r="O163" s="30"/>
      <c r="P163" s="30"/>
      <c r="Q163" s="30"/>
      <c r="R163" s="30"/>
      <c r="S163" s="30"/>
      <c r="T163" s="30"/>
      <c r="U163" s="30" t="n">
        <v>148.88</v>
      </c>
      <c r="V163" s="30" t="n">
        <v>354.75</v>
      </c>
      <c r="W163" s="30"/>
      <c r="X163" s="30"/>
      <c r="Y163" s="30"/>
      <c r="Z163" s="30"/>
      <c r="AA163" s="30"/>
      <c r="AB163" s="30"/>
      <c r="AC163" s="30" t="n">
        <v>7.29</v>
      </c>
      <c r="AD163" s="30" t="s">
        <v>1005</v>
      </c>
      <c r="AE163" s="30" t="n">
        <v>8.47</v>
      </c>
      <c r="AF163" s="30" t="s">
        <v>1005</v>
      </c>
      <c r="AG163" s="30" t="n">
        <v>0</v>
      </c>
      <c r="AH163" s="30" t="s">
        <v>1006</v>
      </c>
      <c r="AI163" s="30" t="n">
        <v>0</v>
      </c>
      <c r="AJ163" s="30" t="s">
        <v>1006</v>
      </c>
      <c r="AK163" s="30" t="n">
        <v>0</v>
      </c>
      <c r="AL163" s="30" t="s">
        <v>1006</v>
      </c>
      <c r="AM163" s="30" t="n">
        <v>0</v>
      </c>
      <c r="AN163" s="30"/>
      <c r="AO163" s="30" t="n">
        <v>30.66</v>
      </c>
      <c r="AP163" s="30" t="s">
        <v>1005</v>
      </c>
      <c r="AQ163" s="30" t="n">
        <v>30.66</v>
      </c>
      <c r="AR163" s="30" t="s">
        <v>1005</v>
      </c>
      <c r="AS163" s="30" t="n">
        <v>16.93</v>
      </c>
      <c r="AT163" s="30" t="s">
        <v>1005</v>
      </c>
      <c r="AU163" s="30" t="n">
        <v>94.01</v>
      </c>
      <c r="AV163" s="30" t="n">
        <v>0.13048</v>
      </c>
      <c r="AW163" s="30" t="s">
        <v>1007</v>
      </c>
      <c r="AX163" s="30" t="s">
        <v>1008</v>
      </c>
      <c r="AY163" s="30" t="n">
        <v>0</v>
      </c>
      <c r="AZ163" s="30"/>
    </row>
    <row collapsed="false" customFormat="true" customHeight="true" hidden="false" ht="33" outlineLevel="0" r="164" s="73">
      <c r="A164" s="30" t="n">
        <v>170</v>
      </c>
      <c r="B164" s="30" t="s">
        <v>286</v>
      </c>
      <c r="C164" s="30" t="s">
        <v>1009</v>
      </c>
      <c r="D164" s="30" t="s">
        <v>999</v>
      </c>
      <c r="E164" s="30" t="s">
        <v>1000</v>
      </c>
      <c r="F164" s="30" t="s">
        <v>1001</v>
      </c>
      <c r="G164" s="30" t="s">
        <v>1002</v>
      </c>
      <c r="H164" s="30" t="s">
        <v>1003</v>
      </c>
      <c r="I164" s="30" t="n">
        <v>1</v>
      </c>
      <c r="J164" s="30"/>
      <c r="K164" s="30" t="n">
        <v>65</v>
      </c>
      <c r="L164" s="30" t="n">
        <v>5.5</v>
      </c>
      <c r="M164" s="30" t="s">
        <v>1004</v>
      </c>
      <c r="N164" s="30" t="s">
        <v>54</v>
      </c>
      <c r="O164" s="30"/>
      <c r="P164" s="30"/>
      <c r="Q164" s="30"/>
      <c r="R164" s="30"/>
      <c r="S164" s="30"/>
      <c r="T164" s="30"/>
      <c r="U164" s="30" t="n">
        <v>411.27</v>
      </c>
      <c r="V164" s="30" t="n">
        <v>440.66</v>
      </c>
      <c r="W164" s="30" t="n">
        <v>100.45</v>
      </c>
      <c r="X164" s="30" t="s">
        <v>1005</v>
      </c>
      <c r="Y164" s="30" t="n">
        <v>64.37</v>
      </c>
      <c r="Z164" s="30" t="s">
        <v>1005</v>
      </c>
      <c r="AA164" s="30" t="n">
        <v>89.17</v>
      </c>
      <c r="AB164" s="30" t="s">
        <v>1005</v>
      </c>
      <c r="AC164" s="30" t="n">
        <v>30.45</v>
      </c>
      <c r="AD164" s="30" t="s">
        <v>1005</v>
      </c>
      <c r="AE164" s="30" t="n">
        <v>12.75</v>
      </c>
      <c r="AF164" s="30" t="s">
        <v>1005</v>
      </c>
      <c r="AG164" s="30" t="n">
        <v>0</v>
      </c>
      <c r="AH164" s="30" t="s">
        <v>1006</v>
      </c>
      <c r="AI164" s="30" t="n">
        <v>0</v>
      </c>
      <c r="AJ164" s="30" t="s">
        <v>1006</v>
      </c>
      <c r="AK164" s="30" t="n">
        <v>0</v>
      </c>
      <c r="AL164" s="30" t="s">
        <v>1006</v>
      </c>
      <c r="AM164" s="30" t="n">
        <v>0</v>
      </c>
      <c r="AN164" s="30"/>
      <c r="AO164" s="30" t="n">
        <v>31.29</v>
      </c>
      <c r="AP164" s="30" t="s">
        <v>1005</v>
      </c>
      <c r="AQ164" s="30" t="n">
        <v>35.49</v>
      </c>
      <c r="AR164" s="30" t="s">
        <v>1005</v>
      </c>
      <c r="AS164" s="30" t="n">
        <v>50.92</v>
      </c>
      <c r="AT164" s="30" t="s">
        <v>1005</v>
      </c>
      <c r="AU164" s="30" t="n">
        <v>414.89</v>
      </c>
      <c r="AV164" s="30" t="n">
        <v>0.15858</v>
      </c>
      <c r="AW164" s="30" t="s">
        <v>1007</v>
      </c>
      <c r="AX164" s="30" t="s">
        <v>1008</v>
      </c>
      <c r="AY164" s="30" t="n">
        <v>0</v>
      </c>
      <c r="AZ164" s="30"/>
    </row>
    <row collapsed="false" customFormat="true" customHeight="true" hidden="false" ht="33" outlineLevel="0" r="165" s="73">
      <c r="A165" s="30" t="n">
        <v>171</v>
      </c>
      <c r="B165" s="30" t="s">
        <v>287</v>
      </c>
      <c r="C165" s="30" t="s">
        <v>1009</v>
      </c>
      <c r="D165" s="30" t="s">
        <v>999</v>
      </c>
      <c r="E165" s="30" t="s">
        <v>1000</v>
      </c>
      <c r="F165" s="30" t="s">
        <v>1001</v>
      </c>
      <c r="G165" s="30" t="s">
        <v>1002</v>
      </c>
      <c r="H165" s="30" t="s">
        <v>1003</v>
      </c>
      <c r="I165" s="30" t="n">
        <v>1</v>
      </c>
      <c r="J165" s="30"/>
      <c r="K165" s="30" t="n">
        <v>65</v>
      </c>
      <c r="L165" s="30" t="n">
        <v>5.5</v>
      </c>
      <c r="M165" s="30" t="s">
        <v>1004</v>
      </c>
      <c r="N165" s="30" t="s">
        <v>54</v>
      </c>
      <c r="O165" s="30"/>
      <c r="P165" s="30"/>
      <c r="Q165" s="30"/>
      <c r="R165" s="30"/>
      <c r="S165" s="30"/>
      <c r="T165" s="30"/>
      <c r="U165" s="30" t="n">
        <v>371.18</v>
      </c>
      <c r="V165" s="30" t="n">
        <v>473.98</v>
      </c>
      <c r="W165" s="30" t="n">
        <v>97.65</v>
      </c>
      <c r="X165" s="30" t="s">
        <v>1005</v>
      </c>
      <c r="Y165" s="30" t="n">
        <v>65.31</v>
      </c>
      <c r="Z165" s="30" t="s">
        <v>1005</v>
      </c>
      <c r="AA165" s="30" t="n">
        <v>95.75</v>
      </c>
      <c r="AB165" s="30" t="s">
        <v>1005</v>
      </c>
      <c r="AC165" s="30" t="n">
        <v>31.78</v>
      </c>
      <c r="AD165" s="30" t="s">
        <v>1005</v>
      </c>
      <c r="AE165" s="30" t="n">
        <v>16.05</v>
      </c>
      <c r="AF165" s="30" t="s">
        <v>1005</v>
      </c>
      <c r="AG165" s="30" t="n">
        <v>0</v>
      </c>
      <c r="AH165" s="30" t="s">
        <v>1006</v>
      </c>
      <c r="AI165" s="30" t="n">
        <v>0</v>
      </c>
      <c r="AJ165" s="30" t="s">
        <v>1006</v>
      </c>
      <c r="AK165" s="30" t="n">
        <v>0</v>
      </c>
      <c r="AL165" s="30" t="s">
        <v>1006</v>
      </c>
      <c r="AM165" s="30" t="n">
        <v>0</v>
      </c>
      <c r="AN165" s="30"/>
      <c r="AO165" s="30" t="n">
        <v>58.37</v>
      </c>
      <c r="AP165" s="30" t="s">
        <v>1005</v>
      </c>
      <c r="AQ165" s="30" t="n">
        <v>24.28</v>
      </c>
      <c r="AR165" s="30" t="s">
        <v>1005</v>
      </c>
      <c r="AS165" s="30" t="n">
        <v>53.95</v>
      </c>
      <c r="AT165" s="30" t="s">
        <v>1005</v>
      </c>
      <c r="AU165" s="30" t="n">
        <v>443.14</v>
      </c>
      <c r="AV165" s="30" t="n">
        <v>0.16259</v>
      </c>
      <c r="AW165" s="30" t="s">
        <v>1007</v>
      </c>
      <c r="AX165" s="30" t="s">
        <v>1008</v>
      </c>
      <c r="AY165" s="30" t="n">
        <v>0</v>
      </c>
      <c r="AZ165" s="30"/>
    </row>
    <row collapsed="false" customFormat="true" customHeight="true" hidden="false" ht="33" outlineLevel="0" r="166" s="73">
      <c r="A166" s="30" t="n">
        <v>172</v>
      </c>
      <c r="B166" s="30" t="s">
        <v>289</v>
      </c>
      <c r="C166" s="30" t="s">
        <v>1009</v>
      </c>
      <c r="D166" s="30" t="s">
        <v>999</v>
      </c>
      <c r="E166" s="30" t="s">
        <v>1010</v>
      </c>
      <c r="F166" s="30" t="s">
        <v>1011</v>
      </c>
      <c r="G166" s="30" t="s">
        <v>1002</v>
      </c>
      <c r="H166" s="30" t="s">
        <v>1003</v>
      </c>
      <c r="I166" s="30" t="n">
        <v>1</v>
      </c>
      <c r="J166" s="30"/>
      <c r="K166" s="30" t="n">
        <v>76</v>
      </c>
      <c r="L166" s="30"/>
      <c r="M166" s="30" t="s">
        <v>1012</v>
      </c>
      <c r="N166" s="30" t="s">
        <v>54</v>
      </c>
      <c r="O166" s="30"/>
      <c r="P166" s="30"/>
      <c r="Q166" s="30"/>
      <c r="R166" s="30"/>
      <c r="S166" s="30"/>
      <c r="T166" s="30"/>
      <c r="U166" s="30" t="n">
        <v>568.59</v>
      </c>
      <c r="V166" s="30" t="n">
        <v>650.01</v>
      </c>
      <c r="W166" s="30" t="n">
        <v>121.04</v>
      </c>
      <c r="X166" s="30" t="s">
        <v>1006</v>
      </c>
      <c r="Y166" s="30" t="n">
        <v>99.88</v>
      </c>
      <c r="Z166" s="30" t="s">
        <v>1005</v>
      </c>
      <c r="AA166" s="30" t="n">
        <v>121.04</v>
      </c>
      <c r="AB166" s="30" t="s">
        <v>1006</v>
      </c>
      <c r="AC166" s="30" t="n">
        <v>121.04</v>
      </c>
      <c r="AD166" s="30" t="s">
        <v>1006</v>
      </c>
      <c r="AE166" s="30" t="n">
        <v>15.34</v>
      </c>
      <c r="AF166" s="30" t="s">
        <v>1005</v>
      </c>
      <c r="AG166" s="30" t="n">
        <v>0</v>
      </c>
      <c r="AH166" s="30" t="s">
        <v>1005</v>
      </c>
      <c r="AI166" s="30" t="n">
        <v>0</v>
      </c>
      <c r="AJ166" s="30" t="s">
        <v>1005</v>
      </c>
      <c r="AK166" s="30" t="n">
        <v>0</v>
      </c>
      <c r="AL166" s="30" t="s">
        <v>1005</v>
      </c>
      <c r="AM166" s="30" t="n">
        <v>0</v>
      </c>
      <c r="AN166" s="30" t="s">
        <v>1005</v>
      </c>
      <c r="AO166" s="30" t="n">
        <v>63</v>
      </c>
      <c r="AP166" s="30" t="s">
        <v>1005</v>
      </c>
      <c r="AQ166" s="30" t="n">
        <v>69.11</v>
      </c>
      <c r="AR166" s="30" t="s">
        <v>1005</v>
      </c>
      <c r="AS166" s="30" t="n">
        <v>96.97</v>
      </c>
      <c r="AT166" s="30" t="s">
        <v>1005</v>
      </c>
      <c r="AU166" s="30" t="n">
        <v>707.42</v>
      </c>
      <c r="AV166" s="30" t="n">
        <v>0.429</v>
      </c>
      <c r="AW166" s="30" t="s">
        <v>1013</v>
      </c>
      <c r="AX166" s="30" t="s">
        <v>1008</v>
      </c>
      <c r="AY166" s="30" t="n">
        <v>1</v>
      </c>
      <c r="AZ166" s="30"/>
    </row>
    <row collapsed="false" customFormat="true" customHeight="true" hidden="false" ht="33" outlineLevel="0" r="167" s="73">
      <c r="A167" s="30" t="n">
        <v>173</v>
      </c>
      <c r="B167" s="30" t="s">
        <v>290</v>
      </c>
      <c r="C167" s="30" t="s">
        <v>1009</v>
      </c>
      <c r="D167" s="30" t="s">
        <v>999</v>
      </c>
      <c r="E167" s="30" t="s">
        <v>1010</v>
      </c>
      <c r="F167" s="30" t="s">
        <v>1011</v>
      </c>
      <c r="G167" s="30" t="s">
        <v>1002</v>
      </c>
      <c r="H167" s="30" t="s">
        <v>1003</v>
      </c>
      <c r="I167" s="30" t="n">
        <v>1</v>
      </c>
      <c r="J167" s="30"/>
      <c r="K167" s="30"/>
      <c r="L167" s="30"/>
      <c r="M167" s="30" t="s">
        <v>1012</v>
      </c>
      <c r="N167" s="30" t="s">
        <v>54</v>
      </c>
      <c r="O167" s="30"/>
      <c r="P167" s="30"/>
      <c r="Q167" s="30"/>
      <c r="R167" s="30"/>
      <c r="S167" s="30"/>
      <c r="T167" s="30"/>
      <c r="U167" s="30" t="n">
        <v>571.6</v>
      </c>
      <c r="V167" s="30" t="n">
        <v>621.03</v>
      </c>
      <c r="W167" s="30" t="n">
        <v>96.82</v>
      </c>
      <c r="X167" s="30" t="s">
        <v>1006</v>
      </c>
      <c r="Y167" s="30" t="n">
        <v>85.67</v>
      </c>
      <c r="Z167" s="30" t="s">
        <v>1005</v>
      </c>
      <c r="AA167" s="30" t="n">
        <v>96.85</v>
      </c>
      <c r="AB167" s="30" t="s">
        <v>1006</v>
      </c>
      <c r="AC167" s="30" t="n">
        <v>62.47</v>
      </c>
      <c r="AD167" s="30" t="s">
        <v>1006</v>
      </c>
      <c r="AE167" s="30" t="n">
        <v>29.54</v>
      </c>
      <c r="AF167" s="30" t="s">
        <v>1005</v>
      </c>
      <c r="AG167" s="30" t="n">
        <v>0</v>
      </c>
      <c r="AH167" s="30" t="s">
        <v>1005</v>
      </c>
      <c r="AI167" s="30" t="n">
        <v>0</v>
      </c>
      <c r="AJ167" s="30" t="s">
        <v>1005</v>
      </c>
      <c r="AK167" s="30" t="n">
        <v>0</v>
      </c>
      <c r="AL167" s="30" t="s">
        <v>1005</v>
      </c>
      <c r="AM167" s="30" t="n">
        <v>0</v>
      </c>
      <c r="AN167" s="30" t="s">
        <v>1005</v>
      </c>
      <c r="AO167" s="30" t="n">
        <v>95.65</v>
      </c>
      <c r="AP167" s="30" t="s">
        <v>1006</v>
      </c>
      <c r="AQ167" s="30" t="n">
        <v>33.73</v>
      </c>
      <c r="AR167" s="30" t="s">
        <v>1005</v>
      </c>
      <c r="AS167" s="30" t="n">
        <v>71.79</v>
      </c>
      <c r="AT167" s="30" t="s">
        <v>1005</v>
      </c>
      <c r="AU167" s="30" t="n">
        <v>572.52</v>
      </c>
      <c r="AV167" s="30" t="n">
        <v>0.32525</v>
      </c>
      <c r="AW167" s="30" t="s">
        <v>1013</v>
      </c>
      <c r="AX167" s="30" t="s">
        <v>1008</v>
      </c>
      <c r="AY167" s="30" t="n">
        <v>1</v>
      </c>
      <c r="AZ167" s="30"/>
    </row>
    <row collapsed="false" customFormat="true" customHeight="true" hidden="false" ht="33" outlineLevel="0" r="168" s="73">
      <c r="A168" s="30" t="n">
        <v>174</v>
      </c>
      <c r="B168" s="30" t="s">
        <v>291</v>
      </c>
      <c r="C168" s="30" t="s">
        <v>1009</v>
      </c>
      <c r="D168" s="30" t="s">
        <v>999</v>
      </c>
      <c r="E168" s="30" t="s">
        <v>1010</v>
      </c>
      <c r="F168" s="30" t="s">
        <v>1011</v>
      </c>
      <c r="G168" s="30" t="s">
        <v>1002</v>
      </c>
      <c r="H168" s="30" t="s">
        <v>1003</v>
      </c>
      <c r="I168" s="30" t="n">
        <v>1</v>
      </c>
      <c r="J168" s="30"/>
      <c r="K168" s="30" t="n">
        <v>76</v>
      </c>
      <c r="L168" s="30"/>
      <c r="M168" s="30" t="s">
        <v>1012</v>
      </c>
      <c r="N168" s="30" t="s">
        <v>54</v>
      </c>
      <c r="O168" s="30"/>
      <c r="P168" s="30"/>
      <c r="Q168" s="30"/>
      <c r="R168" s="30"/>
      <c r="S168" s="30"/>
      <c r="T168" s="30"/>
      <c r="U168" s="30" t="n">
        <v>390.98</v>
      </c>
      <c r="V168" s="30" t="n">
        <v>408.11</v>
      </c>
      <c r="W168" s="30" t="n">
        <v>88.12</v>
      </c>
      <c r="X168" s="30" t="s">
        <v>1005</v>
      </c>
      <c r="Y168" s="30" t="n">
        <v>92.91</v>
      </c>
      <c r="Z168" s="30" t="s">
        <v>1005</v>
      </c>
      <c r="AA168" s="30" t="n">
        <v>126.09</v>
      </c>
      <c r="AB168" s="30" t="s">
        <v>1005</v>
      </c>
      <c r="AC168" s="30" t="n">
        <v>46.92</v>
      </c>
      <c r="AD168" s="30" t="s">
        <v>1006</v>
      </c>
      <c r="AE168" s="30" t="n">
        <v>27.51</v>
      </c>
      <c r="AF168" s="30" t="s">
        <v>1005</v>
      </c>
      <c r="AG168" s="30" t="n">
        <v>0</v>
      </c>
      <c r="AH168" s="30" t="s">
        <v>1005</v>
      </c>
      <c r="AI168" s="30" t="n">
        <v>0</v>
      </c>
      <c r="AJ168" s="30" t="s">
        <v>1005</v>
      </c>
      <c r="AK168" s="30" t="n">
        <v>0</v>
      </c>
      <c r="AL168" s="30" t="s">
        <v>1005</v>
      </c>
      <c r="AM168" s="30" t="n">
        <v>0</v>
      </c>
      <c r="AN168" s="30" t="s">
        <v>1005</v>
      </c>
      <c r="AO168" s="30" t="n">
        <v>96.93</v>
      </c>
      <c r="AP168" s="30" t="s">
        <v>1006</v>
      </c>
      <c r="AQ168" s="30" t="n">
        <v>44.93</v>
      </c>
      <c r="AR168" s="30" t="s">
        <v>1005</v>
      </c>
      <c r="AS168" s="30" t="n">
        <v>89.66</v>
      </c>
      <c r="AT168" s="30" t="s">
        <v>1005</v>
      </c>
      <c r="AU168" s="30" t="n">
        <v>613.07</v>
      </c>
      <c r="AV168" s="30" t="n">
        <v>0.33705</v>
      </c>
      <c r="AW168" s="30" t="s">
        <v>1013</v>
      </c>
      <c r="AX168" s="30" t="s">
        <v>1008</v>
      </c>
      <c r="AY168" s="30" t="n">
        <v>1</v>
      </c>
      <c r="AZ168" s="30"/>
    </row>
    <row collapsed="false" customFormat="true" customHeight="true" hidden="false" ht="33" outlineLevel="0" r="169" s="73">
      <c r="A169" s="30" t="n">
        <v>175</v>
      </c>
      <c r="B169" s="30" t="s">
        <v>292</v>
      </c>
      <c r="C169" s="30" t="s">
        <v>1009</v>
      </c>
      <c r="D169" s="30" t="s">
        <v>999</v>
      </c>
      <c r="E169" s="30" t="s">
        <v>1010</v>
      </c>
      <c r="F169" s="30" t="s">
        <v>1011</v>
      </c>
      <c r="G169" s="30" t="s">
        <v>1002</v>
      </c>
      <c r="H169" s="30" t="s">
        <v>1003</v>
      </c>
      <c r="I169" s="30" t="n">
        <v>1</v>
      </c>
      <c r="J169" s="30"/>
      <c r="K169" s="30" t="n">
        <v>76</v>
      </c>
      <c r="L169" s="30"/>
      <c r="M169" s="30" t="s">
        <v>1012</v>
      </c>
      <c r="N169" s="30" t="s">
        <v>54</v>
      </c>
      <c r="O169" s="30"/>
      <c r="P169" s="30"/>
      <c r="Q169" s="30"/>
      <c r="R169" s="30"/>
      <c r="S169" s="30"/>
      <c r="T169" s="30"/>
      <c r="U169" s="30" t="n">
        <v>720.92</v>
      </c>
      <c r="V169" s="30" t="n">
        <v>812.05</v>
      </c>
      <c r="W169" s="30" t="n">
        <v>119.85</v>
      </c>
      <c r="X169" s="30" t="s">
        <v>1006</v>
      </c>
      <c r="Y169" s="30" t="n">
        <v>116.59</v>
      </c>
      <c r="Z169" s="30" t="s">
        <v>1005</v>
      </c>
      <c r="AA169" s="30" t="n">
        <v>119.85</v>
      </c>
      <c r="AB169" s="30" t="s">
        <v>1006</v>
      </c>
      <c r="AC169" s="30" t="n">
        <v>63.49</v>
      </c>
      <c r="AD169" s="30" t="s">
        <v>1005</v>
      </c>
      <c r="AE169" s="30" t="n">
        <v>30.1</v>
      </c>
      <c r="AF169" s="30" t="s">
        <v>1005</v>
      </c>
      <c r="AG169" s="30" t="n">
        <v>0</v>
      </c>
      <c r="AH169" s="30" t="s">
        <v>1005</v>
      </c>
      <c r="AI169" s="30" t="n">
        <v>0</v>
      </c>
      <c r="AJ169" s="30" t="s">
        <v>1005</v>
      </c>
      <c r="AK169" s="30" t="n">
        <v>0</v>
      </c>
      <c r="AL169" s="30" t="s">
        <v>1005</v>
      </c>
      <c r="AM169" s="30" t="n">
        <v>0</v>
      </c>
      <c r="AN169" s="30" t="s">
        <v>1005</v>
      </c>
      <c r="AO169" s="30" t="n">
        <v>76.47</v>
      </c>
      <c r="AP169" s="30" t="s">
        <v>1005</v>
      </c>
      <c r="AQ169" s="30" t="n">
        <v>64.67</v>
      </c>
      <c r="AR169" s="30" t="s">
        <v>1005</v>
      </c>
      <c r="AS169" s="30" t="n">
        <v>98.32</v>
      </c>
      <c r="AT169" s="30" t="s">
        <v>1005</v>
      </c>
      <c r="AU169" s="30" t="n">
        <v>689.34</v>
      </c>
      <c r="AV169" s="30" t="n">
        <v>0.436</v>
      </c>
      <c r="AW169" s="30" t="s">
        <v>1013</v>
      </c>
      <c r="AX169" s="30" t="s">
        <v>1008</v>
      </c>
      <c r="AY169" s="30" t="n">
        <v>1</v>
      </c>
      <c r="AZ169" s="30"/>
    </row>
    <row collapsed="false" customFormat="true" customHeight="true" hidden="false" ht="33" outlineLevel="0" r="170" s="73">
      <c r="A170" s="30" t="n">
        <v>176</v>
      </c>
      <c r="B170" s="30" t="s">
        <v>294</v>
      </c>
      <c r="C170" s="30" t="s">
        <v>1009</v>
      </c>
      <c r="D170" s="30" t="s">
        <v>999</v>
      </c>
      <c r="E170" s="30" t="s">
        <v>1010</v>
      </c>
      <c r="F170" s="30" t="s">
        <v>1011</v>
      </c>
      <c r="G170" s="30" t="s">
        <v>1002</v>
      </c>
      <c r="H170" s="30" t="s">
        <v>1003</v>
      </c>
      <c r="I170" s="30" t="n">
        <v>1</v>
      </c>
      <c r="J170" s="30"/>
      <c r="K170" s="30" t="n">
        <v>76</v>
      </c>
      <c r="L170" s="30"/>
      <c r="M170" s="30" t="s">
        <v>1012</v>
      </c>
      <c r="N170" s="30" t="s">
        <v>54</v>
      </c>
      <c r="O170" s="30"/>
      <c r="P170" s="30"/>
      <c r="Q170" s="30"/>
      <c r="R170" s="30"/>
      <c r="S170" s="30"/>
      <c r="T170" s="30"/>
      <c r="U170" s="30" t="n">
        <v>240.61</v>
      </c>
      <c r="V170" s="30" t="n">
        <v>399.48</v>
      </c>
      <c r="W170" s="30" t="n">
        <v>44.45</v>
      </c>
      <c r="X170" s="30" t="s">
        <v>1005</v>
      </c>
      <c r="Y170" s="30" t="n">
        <v>40.44</v>
      </c>
      <c r="Z170" s="30" t="s">
        <v>1005</v>
      </c>
      <c r="AA170" s="30" t="n">
        <v>55.56</v>
      </c>
      <c r="AB170" s="30" t="s">
        <v>1005</v>
      </c>
      <c r="AC170" s="30" t="n">
        <v>19.02</v>
      </c>
      <c r="AD170" s="30" t="s">
        <v>1005</v>
      </c>
      <c r="AE170" s="30" t="n">
        <v>10.65</v>
      </c>
      <c r="AF170" s="30" t="s">
        <v>1005</v>
      </c>
      <c r="AG170" s="30" t="n">
        <v>0</v>
      </c>
      <c r="AH170" s="30" t="s">
        <v>1005</v>
      </c>
      <c r="AI170" s="30" t="n">
        <v>0</v>
      </c>
      <c r="AJ170" s="30" t="s">
        <v>1005</v>
      </c>
      <c r="AK170" s="30" t="n">
        <v>0</v>
      </c>
      <c r="AL170" s="30" t="s">
        <v>1005</v>
      </c>
      <c r="AM170" s="30" t="n">
        <v>0</v>
      </c>
      <c r="AN170" s="30" t="s">
        <v>1005</v>
      </c>
      <c r="AO170" s="30" t="n">
        <v>34.57</v>
      </c>
      <c r="AP170" s="30" t="s">
        <v>1005</v>
      </c>
      <c r="AQ170" s="30" t="n">
        <v>24.89</v>
      </c>
      <c r="AR170" s="30" t="s">
        <v>1005</v>
      </c>
      <c r="AS170" s="30" t="n">
        <v>33.31</v>
      </c>
      <c r="AT170" s="30" t="s">
        <v>1005</v>
      </c>
      <c r="AU170" s="30" t="n">
        <v>262.89</v>
      </c>
      <c r="AV170" s="30" t="n">
        <v>0.13938</v>
      </c>
      <c r="AW170" s="30" t="s">
        <v>1013</v>
      </c>
      <c r="AX170" s="30" t="s">
        <v>1008</v>
      </c>
      <c r="AY170" s="30" t="n">
        <v>1</v>
      </c>
      <c r="AZ170" s="30"/>
    </row>
    <row collapsed="false" customFormat="true" customHeight="true" hidden="false" ht="33" outlineLevel="0" r="171" s="73">
      <c r="A171" s="30" t="n">
        <v>177</v>
      </c>
      <c r="B171" s="30" t="s">
        <v>296</v>
      </c>
      <c r="C171" s="30" t="s">
        <v>1009</v>
      </c>
      <c r="D171" s="30" t="s">
        <v>999</v>
      </c>
      <c r="E171" s="30" t="s">
        <v>1000</v>
      </c>
      <c r="F171" s="30" t="s">
        <v>1014</v>
      </c>
      <c r="G171" s="30" t="s">
        <v>1002</v>
      </c>
      <c r="H171" s="30" t="s">
        <v>1003</v>
      </c>
      <c r="I171" s="30" t="n">
        <v>1</v>
      </c>
      <c r="J171" s="30"/>
      <c r="K171" s="30" t="n">
        <v>65</v>
      </c>
      <c r="L171" s="30" t="n">
        <v>6</v>
      </c>
      <c r="M171" s="30" t="s">
        <v>1004</v>
      </c>
      <c r="N171" s="30" t="s">
        <v>54</v>
      </c>
      <c r="O171" s="30"/>
      <c r="P171" s="30"/>
      <c r="Q171" s="30"/>
      <c r="R171" s="30"/>
      <c r="S171" s="30"/>
      <c r="T171" s="30"/>
      <c r="U171" s="30" t="n">
        <v>270.52</v>
      </c>
      <c r="V171" s="30" t="n">
        <v>262.81</v>
      </c>
      <c r="W171" s="30" t="n">
        <v>55.79</v>
      </c>
      <c r="X171" s="30" t="s">
        <v>1005</v>
      </c>
      <c r="Y171" s="30" t="n">
        <v>43.8</v>
      </c>
      <c r="Z171" s="30" t="s">
        <v>1005</v>
      </c>
      <c r="AA171" s="30" t="n">
        <v>49.68</v>
      </c>
      <c r="AB171" s="30" t="s">
        <v>1005</v>
      </c>
      <c r="AC171" s="30" t="n">
        <v>19.58</v>
      </c>
      <c r="AD171" s="30" t="s">
        <v>1005</v>
      </c>
      <c r="AE171" s="30" t="n">
        <v>10.08</v>
      </c>
      <c r="AF171" s="30" t="s">
        <v>1005</v>
      </c>
      <c r="AG171" s="30" t="n">
        <v>0</v>
      </c>
      <c r="AH171" s="30" t="s">
        <v>1006</v>
      </c>
      <c r="AI171" s="30" t="n">
        <v>0</v>
      </c>
      <c r="AJ171" s="30" t="s">
        <v>1006</v>
      </c>
      <c r="AK171" s="30" t="n">
        <v>0</v>
      </c>
      <c r="AL171" s="30" t="s">
        <v>1006</v>
      </c>
      <c r="AM171" s="30" t="n">
        <v>0</v>
      </c>
      <c r="AN171" s="30" t="s">
        <v>1005</v>
      </c>
      <c r="AO171" s="30" t="n">
        <v>36.13</v>
      </c>
      <c r="AP171" s="30" t="s">
        <v>1005</v>
      </c>
      <c r="AQ171" s="30" t="n">
        <v>21.24</v>
      </c>
      <c r="AR171" s="30" t="s">
        <v>1005</v>
      </c>
      <c r="AS171" s="30" t="n">
        <v>34.55</v>
      </c>
      <c r="AT171" s="30" t="s">
        <v>1005</v>
      </c>
      <c r="AU171" s="30" t="n">
        <v>270.85</v>
      </c>
      <c r="AV171" s="30" t="n">
        <v>0.1646</v>
      </c>
      <c r="AW171" s="30" t="s">
        <v>1007</v>
      </c>
      <c r="AX171" s="30" t="s">
        <v>1008</v>
      </c>
      <c r="AY171" s="30" t="n">
        <v>1</v>
      </c>
      <c r="AZ171" s="30"/>
    </row>
    <row collapsed="false" customFormat="true" customHeight="true" hidden="false" ht="33" outlineLevel="0" r="172" s="73">
      <c r="A172" s="30" t="n">
        <v>178</v>
      </c>
      <c r="B172" s="30" t="s">
        <v>297</v>
      </c>
      <c r="C172" s="30" t="s">
        <v>1009</v>
      </c>
      <c r="D172" s="30" t="s">
        <v>999</v>
      </c>
      <c r="E172" s="30" t="s">
        <v>1000</v>
      </c>
      <c r="F172" s="30" t="s">
        <v>1014</v>
      </c>
      <c r="G172" s="30" t="s">
        <v>1002</v>
      </c>
      <c r="H172" s="30" t="s">
        <v>1003</v>
      </c>
      <c r="I172" s="30" t="n">
        <v>1</v>
      </c>
      <c r="J172" s="30"/>
      <c r="K172" s="30" t="n">
        <v>80</v>
      </c>
      <c r="L172" s="30" t="n">
        <v>6</v>
      </c>
      <c r="M172" s="30" t="s">
        <v>1004</v>
      </c>
      <c r="N172" s="30" t="s">
        <v>54</v>
      </c>
      <c r="O172" s="30"/>
      <c r="P172" s="30"/>
      <c r="Q172" s="30"/>
      <c r="R172" s="30"/>
      <c r="S172" s="30"/>
      <c r="T172" s="30"/>
      <c r="U172" s="30" t="n">
        <v>297.13</v>
      </c>
      <c r="V172" s="30" t="n">
        <v>268.75</v>
      </c>
      <c r="W172" s="30" t="n">
        <v>59.43</v>
      </c>
      <c r="X172" s="30" t="s">
        <v>1005</v>
      </c>
      <c r="Y172" s="30" t="n">
        <v>45.65</v>
      </c>
      <c r="Z172" s="30" t="s">
        <v>1005</v>
      </c>
      <c r="AA172" s="30" t="n">
        <v>50.99</v>
      </c>
      <c r="AB172" s="30" t="s">
        <v>1005</v>
      </c>
      <c r="AC172" s="30" t="n">
        <v>18.67</v>
      </c>
      <c r="AD172" s="30" t="s">
        <v>1005</v>
      </c>
      <c r="AE172" s="30" t="n">
        <v>11.88</v>
      </c>
      <c r="AF172" s="30" t="s">
        <v>1005</v>
      </c>
      <c r="AG172" s="30" t="n">
        <v>0</v>
      </c>
      <c r="AH172" s="30" t="s">
        <v>1006</v>
      </c>
      <c r="AI172" s="30" t="n">
        <v>0</v>
      </c>
      <c r="AJ172" s="30" t="s">
        <v>1006</v>
      </c>
      <c r="AK172" s="30" t="n">
        <v>0</v>
      </c>
      <c r="AL172" s="30" t="s">
        <v>1006</v>
      </c>
      <c r="AM172" s="30" t="n">
        <v>0</v>
      </c>
      <c r="AN172" s="30" t="s">
        <v>1005</v>
      </c>
      <c r="AO172" s="30" t="n">
        <v>35.91</v>
      </c>
      <c r="AP172" s="30" t="s">
        <v>1005</v>
      </c>
      <c r="AQ172" s="30" t="n">
        <v>22.63</v>
      </c>
      <c r="AR172" s="30" t="s">
        <v>1005</v>
      </c>
      <c r="AS172" s="30" t="n">
        <v>37.22</v>
      </c>
      <c r="AT172" s="30" t="s">
        <v>1005</v>
      </c>
      <c r="AU172" s="30" t="n">
        <v>282.38</v>
      </c>
      <c r="AV172" s="30" t="n">
        <v>0.22582</v>
      </c>
      <c r="AW172" s="30" t="s">
        <v>1007</v>
      </c>
      <c r="AX172" s="30" t="s">
        <v>1008</v>
      </c>
      <c r="AY172" s="30" t="n">
        <v>1</v>
      </c>
      <c r="AZ172" s="30"/>
    </row>
    <row collapsed="false" customFormat="true" customHeight="true" hidden="false" ht="33" outlineLevel="0" r="173" s="73">
      <c r="A173" s="30" t="n">
        <v>179</v>
      </c>
      <c r="B173" s="30" t="s">
        <v>298</v>
      </c>
      <c r="C173" s="30" t="s">
        <v>1009</v>
      </c>
      <c r="D173" s="30" t="s">
        <v>999</v>
      </c>
      <c r="E173" s="30" t="s">
        <v>1000</v>
      </c>
      <c r="F173" s="30" t="s">
        <v>1014</v>
      </c>
      <c r="G173" s="30" t="s">
        <v>1002</v>
      </c>
      <c r="H173" s="30" t="s">
        <v>1003</v>
      </c>
      <c r="I173" s="30" t="n">
        <v>1</v>
      </c>
      <c r="J173" s="30"/>
      <c r="K173" s="30" t="n">
        <v>65</v>
      </c>
      <c r="L173" s="30" t="n">
        <v>6</v>
      </c>
      <c r="M173" s="30" t="s">
        <v>1004</v>
      </c>
      <c r="N173" s="30" t="s">
        <v>54</v>
      </c>
      <c r="O173" s="30"/>
      <c r="P173" s="30"/>
      <c r="Q173" s="30"/>
      <c r="R173" s="30"/>
      <c r="S173" s="30"/>
      <c r="T173" s="30"/>
      <c r="U173" s="30" t="n">
        <v>307.96</v>
      </c>
      <c r="V173" s="30" t="n">
        <v>312.77</v>
      </c>
      <c r="W173" s="30" t="n">
        <v>60.34</v>
      </c>
      <c r="X173" s="30" t="s">
        <v>1005</v>
      </c>
      <c r="Y173" s="30" t="n">
        <v>48.31</v>
      </c>
      <c r="Z173" s="30" t="s">
        <v>1005</v>
      </c>
      <c r="AA173" s="30" t="n">
        <v>54.68</v>
      </c>
      <c r="AB173" s="30" t="s">
        <v>1005</v>
      </c>
      <c r="AC173" s="30" t="n">
        <v>20</v>
      </c>
      <c r="AD173" s="30" t="s">
        <v>1005</v>
      </c>
      <c r="AE173" s="30" t="n">
        <v>13.08</v>
      </c>
      <c r="AF173" s="30" t="s">
        <v>1005</v>
      </c>
      <c r="AG173" s="30" t="n">
        <v>0</v>
      </c>
      <c r="AH173" s="30" t="s">
        <v>1006</v>
      </c>
      <c r="AI173" s="30" t="n">
        <v>0</v>
      </c>
      <c r="AJ173" s="30" t="s">
        <v>1006</v>
      </c>
      <c r="AK173" s="30" t="n">
        <v>0</v>
      </c>
      <c r="AL173" s="30" t="s">
        <v>1006</v>
      </c>
      <c r="AM173" s="30" t="n">
        <v>0</v>
      </c>
      <c r="AN173" s="30" t="s">
        <v>1005</v>
      </c>
      <c r="AO173" s="30" t="n">
        <v>25.01</v>
      </c>
      <c r="AP173" s="30" t="s">
        <v>1005</v>
      </c>
      <c r="AQ173" s="30" t="n">
        <v>30</v>
      </c>
      <c r="AR173" s="30" t="s">
        <v>1005</v>
      </c>
      <c r="AS173" s="30" t="n">
        <v>38.37</v>
      </c>
      <c r="AT173" s="30" t="s">
        <v>1005</v>
      </c>
      <c r="AU173" s="30" t="n">
        <v>289.79</v>
      </c>
      <c r="AV173" s="30" t="n">
        <v>0.1646</v>
      </c>
      <c r="AW173" s="30" t="s">
        <v>1007</v>
      </c>
      <c r="AX173" s="30" t="s">
        <v>1008</v>
      </c>
      <c r="AY173" s="30" t="n">
        <v>1</v>
      </c>
      <c r="AZ173" s="30"/>
    </row>
    <row collapsed="false" customFormat="true" customHeight="true" hidden="false" ht="33" outlineLevel="0" r="174" s="73">
      <c r="A174" s="30" t="n">
        <v>180</v>
      </c>
      <c r="B174" s="30" t="s">
        <v>299</v>
      </c>
      <c r="C174" s="30" t="s">
        <v>1009</v>
      </c>
      <c r="D174" s="30" t="s">
        <v>999</v>
      </c>
      <c r="E174" s="30" t="s">
        <v>1000</v>
      </c>
      <c r="F174" s="30" t="s">
        <v>1014</v>
      </c>
      <c r="G174" s="30" t="s">
        <v>1002</v>
      </c>
      <c r="H174" s="30" t="s">
        <v>1003</v>
      </c>
      <c r="I174" s="30" t="n">
        <v>1</v>
      </c>
      <c r="J174" s="30"/>
      <c r="K174" s="30" t="n">
        <v>65</v>
      </c>
      <c r="L174" s="30" t="n">
        <v>6</v>
      </c>
      <c r="M174" s="30" t="s">
        <v>1004</v>
      </c>
      <c r="N174" s="30" t="s">
        <v>54</v>
      </c>
      <c r="O174" s="30"/>
      <c r="P174" s="30"/>
      <c r="Q174" s="30"/>
      <c r="R174" s="30"/>
      <c r="S174" s="30"/>
      <c r="T174" s="30"/>
      <c r="U174" s="30" t="n">
        <v>299.96</v>
      </c>
      <c r="V174" s="30" t="n">
        <v>292.61</v>
      </c>
      <c r="W174" s="30" t="n">
        <v>54.67</v>
      </c>
      <c r="X174" s="30" t="s">
        <v>1005</v>
      </c>
      <c r="Y174" s="30" t="n">
        <v>44.6</v>
      </c>
      <c r="Z174" s="30" t="s">
        <v>1005</v>
      </c>
      <c r="AA174" s="30" t="n">
        <v>50.2</v>
      </c>
      <c r="AB174" s="30" t="s">
        <v>1005</v>
      </c>
      <c r="AC174" s="30" t="n">
        <v>18.62</v>
      </c>
      <c r="AD174" s="30" t="s">
        <v>1005</v>
      </c>
      <c r="AE174" s="30" t="n">
        <v>11.83</v>
      </c>
      <c r="AF174" s="30" t="s">
        <v>1005</v>
      </c>
      <c r="AG174" s="30" t="n">
        <v>0</v>
      </c>
      <c r="AH174" s="30" t="s">
        <v>1006</v>
      </c>
      <c r="AI174" s="30" t="n">
        <v>0</v>
      </c>
      <c r="AJ174" s="30" t="s">
        <v>1006</v>
      </c>
      <c r="AK174" s="30" t="n">
        <v>0</v>
      </c>
      <c r="AL174" s="30" t="s">
        <v>1006</v>
      </c>
      <c r="AM174" s="30" t="n">
        <v>0</v>
      </c>
      <c r="AN174" s="30" t="s">
        <v>1005</v>
      </c>
      <c r="AO174" s="30" t="n">
        <v>23.09</v>
      </c>
      <c r="AP174" s="30" t="s">
        <v>1005</v>
      </c>
      <c r="AQ174" s="30" t="n">
        <v>27.89</v>
      </c>
      <c r="AR174" s="30" t="s">
        <v>1005</v>
      </c>
      <c r="AS174" s="30" t="n">
        <v>35.7</v>
      </c>
      <c r="AT174" s="30" t="s">
        <v>1005</v>
      </c>
      <c r="AU174" s="30" t="n">
        <v>266.6</v>
      </c>
      <c r="AV174" s="30" t="n">
        <v>0.1646</v>
      </c>
      <c r="AW174" s="30" t="s">
        <v>1007</v>
      </c>
      <c r="AX174" s="30" t="s">
        <v>1008</v>
      </c>
      <c r="AY174" s="30" t="n">
        <v>1</v>
      </c>
      <c r="AZ174" s="30"/>
    </row>
    <row collapsed="false" customFormat="true" customHeight="true" hidden="false" ht="33" outlineLevel="0" r="175" s="73">
      <c r="A175" s="30" t="n">
        <v>181</v>
      </c>
      <c r="B175" s="30" t="s">
        <v>301</v>
      </c>
      <c r="C175" s="30" t="s">
        <v>1009</v>
      </c>
      <c r="D175" s="30" t="s">
        <v>999</v>
      </c>
      <c r="E175" s="30" t="s">
        <v>1000</v>
      </c>
      <c r="F175" s="30" t="s">
        <v>1001</v>
      </c>
      <c r="G175" s="30" t="s">
        <v>1002</v>
      </c>
      <c r="H175" s="30" t="s">
        <v>1003</v>
      </c>
      <c r="I175" s="30" t="n">
        <v>1</v>
      </c>
      <c r="J175" s="30"/>
      <c r="K175" s="30" t="n">
        <v>65</v>
      </c>
      <c r="L175" s="30" t="n">
        <v>5.5</v>
      </c>
      <c r="M175" s="30" t="s">
        <v>1004</v>
      </c>
      <c r="N175" s="30" t="s">
        <v>53</v>
      </c>
      <c r="O175" s="30"/>
      <c r="P175" s="30"/>
      <c r="Q175" s="30"/>
      <c r="R175" s="30"/>
      <c r="S175" s="30"/>
      <c r="T175" s="30"/>
      <c r="U175" s="30" t="n">
        <v>272.01</v>
      </c>
      <c r="V175" s="30" t="n">
        <v>397.28</v>
      </c>
      <c r="W175" s="30" t="n">
        <v>34.48</v>
      </c>
      <c r="X175" s="30" t="s">
        <v>1006</v>
      </c>
      <c r="Y175" s="30" t="n">
        <v>34.48</v>
      </c>
      <c r="Z175" s="30" t="s">
        <v>1005</v>
      </c>
      <c r="AA175" s="30" t="n">
        <v>34.48</v>
      </c>
      <c r="AB175" s="30" t="s">
        <v>1005</v>
      </c>
      <c r="AC175" s="30" t="n">
        <v>34.48</v>
      </c>
      <c r="AD175" s="30" t="s">
        <v>1005</v>
      </c>
      <c r="AE175" s="30" t="n">
        <v>10.01</v>
      </c>
      <c r="AF175" s="30" t="s">
        <v>1005</v>
      </c>
      <c r="AG175" s="30" t="n">
        <v>0</v>
      </c>
      <c r="AH175" s="30" t="s">
        <v>1006</v>
      </c>
      <c r="AI175" s="30" t="n">
        <v>0</v>
      </c>
      <c r="AJ175" s="30" t="s">
        <v>1006</v>
      </c>
      <c r="AK175" s="30" t="n">
        <v>0</v>
      </c>
      <c r="AL175" s="30" t="s">
        <v>1006</v>
      </c>
      <c r="AM175" s="30" t="n">
        <v>9.07</v>
      </c>
      <c r="AN175" s="30" t="s">
        <v>1006</v>
      </c>
      <c r="AO175" s="30" t="n">
        <v>38.87</v>
      </c>
      <c r="AP175" s="30" t="s">
        <v>1005</v>
      </c>
      <c r="AQ175" s="30" t="n">
        <v>38.87</v>
      </c>
      <c r="AR175" s="30" t="s">
        <v>1005</v>
      </c>
      <c r="AS175" s="30" t="n">
        <v>35.31</v>
      </c>
      <c r="AT175" s="30" t="s">
        <v>1005</v>
      </c>
      <c r="AU175" s="30" t="n">
        <v>270.05</v>
      </c>
      <c r="AV175" s="30" t="n">
        <v>0.37674</v>
      </c>
      <c r="AW175" s="30" t="s">
        <v>1007</v>
      </c>
      <c r="AX175" s="30" t="s">
        <v>1008</v>
      </c>
      <c r="AY175" s="30" t="n">
        <v>0</v>
      </c>
      <c r="AZ175" s="30"/>
    </row>
    <row collapsed="false" customFormat="true" customHeight="true" hidden="false" ht="33" outlineLevel="0" r="176" s="73">
      <c r="A176" s="30" t="n">
        <v>182</v>
      </c>
      <c r="B176" s="30" t="s">
        <v>302</v>
      </c>
      <c r="C176" s="30" t="s">
        <v>1009</v>
      </c>
      <c r="D176" s="30" t="s">
        <v>999</v>
      </c>
      <c r="E176" s="30" t="s">
        <v>1000</v>
      </c>
      <c r="F176" s="30" t="s">
        <v>1001</v>
      </c>
      <c r="G176" s="30" t="s">
        <v>1002</v>
      </c>
      <c r="H176" s="30" t="s">
        <v>1003</v>
      </c>
      <c r="I176" s="30" t="n">
        <v>1</v>
      </c>
      <c r="J176" s="30"/>
      <c r="K176" s="30" t="n">
        <v>65</v>
      </c>
      <c r="L176" s="30" t="n">
        <v>5.5</v>
      </c>
      <c r="M176" s="30" t="s">
        <v>1004</v>
      </c>
      <c r="N176" s="30" t="s">
        <v>53</v>
      </c>
      <c r="O176" s="30"/>
      <c r="P176" s="30"/>
      <c r="Q176" s="30"/>
      <c r="R176" s="30"/>
      <c r="S176" s="30"/>
      <c r="T176" s="30"/>
      <c r="U176" s="30" t="n">
        <v>229.71</v>
      </c>
      <c r="V176" s="30" t="n">
        <v>345.4</v>
      </c>
      <c r="W176" s="30" t="n">
        <v>35.52</v>
      </c>
      <c r="X176" s="30" t="s">
        <v>1006</v>
      </c>
      <c r="Y176" s="30" t="n">
        <v>35.52</v>
      </c>
      <c r="Z176" s="30" t="s">
        <v>1005</v>
      </c>
      <c r="AA176" s="30" t="n">
        <v>35.52</v>
      </c>
      <c r="AB176" s="30" t="s">
        <v>1005</v>
      </c>
      <c r="AC176" s="30" t="n">
        <v>35.52</v>
      </c>
      <c r="AD176" s="30" t="s">
        <v>1005</v>
      </c>
      <c r="AE176" s="30" t="n">
        <v>10.31</v>
      </c>
      <c r="AF176" s="30" t="s">
        <v>1005</v>
      </c>
      <c r="AG176" s="30" t="n">
        <v>0</v>
      </c>
      <c r="AH176" s="30" t="s">
        <v>1006</v>
      </c>
      <c r="AI176" s="30" t="n">
        <v>0</v>
      </c>
      <c r="AJ176" s="30" t="s">
        <v>1006</v>
      </c>
      <c r="AK176" s="30" t="n">
        <v>0</v>
      </c>
      <c r="AL176" s="30" t="s">
        <v>1006</v>
      </c>
      <c r="AM176" s="30" t="n">
        <v>9.35</v>
      </c>
      <c r="AN176" s="30" t="s">
        <v>1006</v>
      </c>
      <c r="AO176" s="30" t="n">
        <v>13.84</v>
      </c>
      <c r="AP176" s="30" t="s">
        <v>1005</v>
      </c>
      <c r="AQ176" s="30" t="n">
        <v>21.48</v>
      </c>
      <c r="AR176" s="30" t="s">
        <v>1005</v>
      </c>
      <c r="AS176" s="30" t="n">
        <v>33</v>
      </c>
      <c r="AT176" s="30" t="s">
        <v>1005</v>
      </c>
      <c r="AU176" s="30" t="n">
        <v>230.06</v>
      </c>
      <c r="AV176" s="30" t="n">
        <v>0.37674</v>
      </c>
      <c r="AW176" s="30" t="s">
        <v>1007</v>
      </c>
      <c r="AX176" s="30" t="s">
        <v>1008</v>
      </c>
      <c r="AY176" s="30" t="n">
        <v>0</v>
      </c>
      <c r="AZ176" s="30"/>
    </row>
    <row collapsed="false" customFormat="true" customHeight="true" hidden="false" ht="33" outlineLevel="0" r="177" s="73">
      <c r="A177" s="30" t="n">
        <v>183</v>
      </c>
      <c r="B177" s="30" t="s">
        <v>303</v>
      </c>
      <c r="C177" s="30" t="s">
        <v>1009</v>
      </c>
      <c r="D177" s="30" t="s">
        <v>999</v>
      </c>
      <c r="E177" s="30" t="s">
        <v>1000</v>
      </c>
      <c r="F177" s="30" t="s">
        <v>1001</v>
      </c>
      <c r="G177" s="30" t="s">
        <v>1002</v>
      </c>
      <c r="H177" s="30" t="s">
        <v>1003</v>
      </c>
      <c r="I177" s="30" t="n">
        <v>3</v>
      </c>
      <c r="J177" s="30"/>
      <c r="K177" s="30" t="n">
        <v>65</v>
      </c>
      <c r="L177" s="30" t="n">
        <v>5.5</v>
      </c>
      <c r="M177" s="30" t="s">
        <v>1004</v>
      </c>
      <c r="N177" s="30" t="s">
        <v>53</v>
      </c>
      <c r="O177" s="30"/>
      <c r="P177" s="30"/>
      <c r="Q177" s="30"/>
      <c r="R177" s="30"/>
      <c r="S177" s="30"/>
      <c r="T177" s="30"/>
      <c r="U177" s="30" t="n">
        <v>933.37</v>
      </c>
      <c r="V177" s="30" t="n">
        <v>2102.89</v>
      </c>
      <c r="W177" s="30" t="n">
        <v>208.9</v>
      </c>
      <c r="X177" s="30" t="s">
        <v>1006</v>
      </c>
      <c r="Y177" s="30" t="n">
        <v>208.9</v>
      </c>
      <c r="Z177" s="30" t="s">
        <v>1005</v>
      </c>
      <c r="AA177" s="30" t="n">
        <v>208.9</v>
      </c>
      <c r="AB177" s="30" t="s">
        <v>1005</v>
      </c>
      <c r="AC177" s="30" t="n">
        <v>208.9</v>
      </c>
      <c r="AD177" s="30" t="s">
        <v>1005</v>
      </c>
      <c r="AE177" s="30" t="n">
        <v>60.65</v>
      </c>
      <c r="AF177" s="30" t="s">
        <v>1005</v>
      </c>
      <c r="AG177" s="30" t="n">
        <v>0</v>
      </c>
      <c r="AH177" s="30" t="s">
        <v>1006</v>
      </c>
      <c r="AI177" s="30" t="n">
        <v>0</v>
      </c>
      <c r="AJ177" s="30" t="s">
        <v>1006</v>
      </c>
      <c r="AK177" s="30" t="n">
        <v>0</v>
      </c>
      <c r="AL177" s="30" t="s">
        <v>1006</v>
      </c>
      <c r="AM177" s="30" t="n">
        <v>54.96</v>
      </c>
      <c r="AN177" s="30" t="s">
        <v>1006</v>
      </c>
      <c r="AO177" s="30" t="n">
        <v>173.49</v>
      </c>
      <c r="AP177" s="30" t="s">
        <v>1005</v>
      </c>
      <c r="AQ177" s="30" t="n">
        <v>83.56</v>
      </c>
      <c r="AR177" s="30" t="s">
        <v>1005</v>
      </c>
      <c r="AS177" s="30" t="n">
        <v>140.03</v>
      </c>
      <c r="AT177" s="30" t="s">
        <v>1005</v>
      </c>
      <c r="AU177" s="30" t="n">
        <v>1348.29</v>
      </c>
      <c r="AV177" s="30" t="n">
        <v>1.12195</v>
      </c>
      <c r="AW177" s="30" t="s">
        <v>1007</v>
      </c>
      <c r="AX177" s="30" t="s">
        <v>1008</v>
      </c>
      <c r="AY177" s="30" t="n">
        <v>0</v>
      </c>
      <c r="AZ177" s="30"/>
    </row>
    <row collapsed="false" customFormat="true" customHeight="true" hidden="false" ht="33" outlineLevel="0" r="178" s="73">
      <c r="A178" s="30" t="n">
        <v>184</v>
      </c>
      <c r="B178" s="30" t="s">
        <v>304</v>
      </c>
      <c r="C178" s="30" t="s">
        <v>1009</v>
      </c>
      <c r="D178" s="30" t="s">
        <v>999</v>
      </c>
      <c r="E178" s="30" t="s">
        <v>1000</v>
      </c>
      <c r="F178" s="30" t="s">
        <v>1001</v>
      </c>
      <c r="G178" s="30" t="s">
        <v>1002</v>
      </c>
      <c r="H178" s="30" t="s">
        <v>1003</v>
      </c>
      <c r="I178" s="30" t="n">
        <v>1</v>
      </c>
      <c r="J178" s="30"/>
      <c r="K178" s="30" t="n">
        <v>65</v>
      </c>
      <c r="L178" s="30" t="n">
        <v>5.5</v>
      </c>
      <c r="M178" s="30" t="s">
        <v>1004</v>
      </c>
      <c r="N178" s="30" t="s">
        <v>53</v>
      </c>
      <c r="O178" s="30"/>
      <c r="P178" s="30"/>
      <c r="Q178" s="30"/>
      <c r="R178" s="30"/>
      <c r="S178" s="30"/>
      <c r="T178" s="30"/>
      <c r="U178" s="30" t="n">
        <v>371.73</v>
      </c>
      <c r="V178" s="30" t="n">
        <v>453.91</v>
      </c>
      <c r="W178" s="30" t="n">
        <v>83.81</v>
      </c>
      <c r="X178" s="30" t="s">
        <v>1005</v>
      </c>
      <c r="Y178" s="30" t="n">
        <v>58.3</v>
      </c>
      <c r="Z178" s="30" t="s">
        <v>1005</v>
      </c>
      <c r="AA178" s="30" t="n">
        <v>75.88</v>
      </c>
      <c r="AB178" s="30" t="s">
        <v>1005</v>
      </c>
      <c r="AC178" s="30" t="n">
        <v>29.58</v>
      </c>
      <c r="AD178" s="30" t="s">
        <v>1005</v>
      </c>
      <c r="AE178" s="30" t="n">
        <v>16.19</v>
      </c>
      <c r="AF178" s="30" t="s">
        <v>1005</v>
      </c>
      <c r="AG178" s="30" t="n">
        <v>0</v>
      </c>
      <c r="AH178" s="30" t="s">
        <v>1006</v>
      </c>
      <c r="AI178" s="30" t="n">
        <v>0</v>
      </c>
      <c r="AJ178" s="30" t="s">
        <v>1006</v>
      </c>
      <c r="AK178" s="30" t="n">
        <v>0</v>
      </c>
      <c r="AL178" s="30" t="s">
        <v>1006</v>
      </c>
      <c r="AM178" s="30" t="n">
        <v>0</v>
      </c>
      <c r="AN178" s="30"/>
      <c r="AO178" s="30" t="n">
        <v>29.93</v>
      </c>
      <c r="AP178" s="30" t="s">
        <v>1005</v>
      </c>
      <c r="AQ178" s="30" t="n">
        <v>29.64</v>
      </c>
      <c r="AR178" s="30" t="s">
        <v>1005</v>
      </c>
      <c r="AS178" s="30" t="n">
        <v>44.99</v>
      </c>
      <c r="AT178" s="30" t="s">
        <v>1005</v>
      </c>
      <c r="AU178" s="30" t="n">
        <v>368.32</v>
      </c>
      <c r="AV178" s="30" t="n">
        <v>0.30593</v>
      </c>
      <c r="AW178" s="30" t="s">
        <v>1007</v>
      </c>
      <c r="AX178" s="30" t="s">
        <v>1008</v>
      </c>
      <c r="AY178" s="30" t="n">
        <v>0</v>
      </c>
      <c r="AZ178" s="30"/>
    </row>
    <row collapsed="false" customFormat="true" customHeight="true" hidden="false" ht="33" outlineLevel="0" r="179" s="73">
      <c r="A179" s="30" t="n">
        <v>185</v>
      </c>
      <c r="B179" s="30" t="s">
        <v>305</v>
      </c>
      <c r="C179" s="30" t="s">
        <v>1009</v>
      </c>
      <c r="D179" s="30" t="s">
        <v>999</v>
      </c>
      <c r="E179" s="30" t="s">
        <v>1000</v>
      </c>
      <c r="F179" s="30" t="s">
        <v>1001</v>
      </c>
      <c r="G179" s="30" t="s">
        <v>1002</v>
      </c>
      <c r="H179" s="30" t="s">
        <v>1003</v>
      </c>
      <c r="I179" s="30" t="n">
        <v>1</v>
      </c>
      <c r="J179" s="30"/>
      <c r="K179" s="30" t="n">
        <v>65</v>
      </c>
      <c r="L179" s="30" t="n">
        <v>5.5</v>
      </c>
      <c r="M179" s="30" t="s">
        <v>1004</v>
      </c>
      <c r="N179" s="30" t="s">
        <v>53</v>
      </c>
      <c r="O179" s="30"/>
      <c r="P179" s="30"/>
      <c r="Q179" s="30"/>
      <c r="R179" s="30"/>
      <c r="S179" s="30"/>
      <c r="T179" s="30"/>
      <c r="U179" s="30" t="n">
        <v>429.42</v>
      </c>
      <c r="V179" s="30" t="n">
        <v>595.48</v>
      </c>
      <c r="W179" s="30" t="n">
        <v>55.33</v>
      </c>
      <c r="X179" s="30" t="s">
        <v>1005</v>
      </c>
      <c r="Y179" s="30" t="n">
        <v>55.33</v>
      </c>
      <c r="Z179" s="30" t="s">
        <v>1005</v>
      </c>
      <c r="AA179" s="30" t="n">
        <v>55.33</v>
      </c>
      <c r="AB179" s="30" t="s">
        <v>1005</v>
      </c>
      <c r="AC179" s="30" t="n">
        <v>55.33</v>
      </c>
      <c r="AD179" s="30" t="s">
        <v>1005</v>
      </c>
      <c r="AE179" s="30" t="n">
        <v>16.06</v>
      </c>
      <c r="AF179" s="30" t="s">
        <v>1005</v>
      </c>
      <c r="AG179" s="30" t="n">
        <v>0</v>
      </c>
      <c r="AH179" s="30" t="s">
        <v>1006</v>
      </c>
      <c r="AI179" s="30" t="n">
        <v>0</v>
      </c>
      <c r="AJ179" s="30" t="s">
        <v>1006</v>
      </c>
      <c r="AK179" s="30" t="n">
        <v>0</v>
      </c>
      <c r="AL179" s="30" t="s">
        <v>1006</v>
      </c>
      <c r="AM179" s="30" t="n">
        <v>0</v>
      </c>
      <c r="AN179" s="30"/>
      <c r="AO179" s="30" t="n">
        <v>35.25</v>
      </c>
      <c r="AP179" s="30" t="s">
        <v>1005</v>
      </c>
      <c r="AQ179" s="30" t="n">
        <v>69.44</v>
      </c>
      <c r="AR179" s="30" t="s">
        <v>1005</v>
      </c>
      <c r="AS179" s="30" t="n">
        <v>58.03</v>
      </c>
      <c r="AT179" s="30" t="s">
        <v>1005</v>
      </c>
      <c r="AU179" s="30" t="n">
        <v>400.1</v>
      </c>
      <c r="AV179" s="30" t="n">
        <v>0.30693</v>
      </c>
      <c r="AW179" s="30" t="s">
        <v>1007</v>
      </c>
      <c r="AX179" s="30" t="s">
        <v>1008</v>
      </c>
      <c r="AY179" s="30" t="n">
        <v>0</v>
      </c>
      <c r="AZ179" s="30"/>
    </row>
    <row collapsed="false" customFormat="true" customHeight="true" hidden="false" ht="33" outlineLevel="0" r="180" s="73">
      <c r="A180" s="30" t="n">
        <v>186</v>
      </c>
      <c r="B180" s="30" t="s">
        <v>306</v>
      </c>
      <c r="C180" s="30" t="s">
        <v>1009</v>
      </c>
      <c r="D180" s="30" t="s">
        <v>999</v>
      </c>
      <c r="E180" s="30" t="s">
        <v>1000</v>
      </c>
      <c r="F180" s="30" t="s">
        <v>1001</v>
      </c>
      <c r="G180" s="30" t="s">
        <v>1002</v>
      </c>
      <c r="H180" s="30" t="s">
        <v>1003</v>
      </c>
      <c r="I180" s="30" t="n">
        <v>1</v>
      </c>
      <c r="J180" s="30"/>
      <c r="K180" s="30" t="n">
        <v>80</v>
      </c>
      <c r="L180" s="30" t="n">
        <v>5.5</v>
      </c>
      <c r="M180" s="30" t="s">
        <v>1004</v>
      </c>
      <c r="N180" s="30" t="s">
        <v>53</v>
      </c>
      <c r="O180" s="30"/>
      <c r="P180" s="30"/>
      <c r="Q180" s="30"/>
      <c r="R180" s="30"/>
      <c r="S180" s="30"/>
      <c r="T180" s="30"/>
      <c r="U180" s="30" t="n">
        <v>531.11</v>
      </c>
      <c r="V180" s="30" t="n">
        <v>668.86</v>
      </c>
      <c r="W180" s="30" t="n">
        <v>126.41</v>
      </c>
      <c r="X180" s="30" t="s">
        <v>1005</v>
      </c>
      <c r="Y180" s="30" t="n">
        <v>69.79</v>
      </c>
      <c r="Z180" s="30" t="s">
        <v>1005</v>
      </c>
      <c r="AA180" s="30" t="n">
        <v>121.13</v>
      </c>
      <c r="AB180" s="30" t="s">
        <v>1005</v>
      </c>
      <c r="AC180" s="30" t="n">
        <v>45.68</v>
      </c>
      <c r="AD180" s="30" t="s">
        <v>1005</v>
      </c>
      <c r="AE180" s="30" t="n">
        <v>27.44</v>
      </c>
      <c r="AF180" s="30" t="s">
        <v>1005</v>
      </c>
      <c r="AG180" s="30" t="n">
        <v>0</v>
      </c>
      <c r="AH180" s="30" t="s">
        <v>1006</v>
      </c>
      <c r="AI180" s="30" t="n">
        <v>0</v>
      </c>
      <c r="AJ180" s="30" t="s">
        <v>1006</v>
      </c>
      <c r="AK180" s="30" t="n">
        <v>0</v>
      </c>
      <c r="AL180" s="30" t="s">
        <v>1006</v>
      </c>
      <c r="AM180" s="30" t="n">
        <v>0</v>
      </c>
      <c r="AN180" s="30"/>
      <c r="AO180" s="30" t="n">
        <v>49.55</v>
      </c>
      <c r="AP180" s="30" t="s">
        <v>1005</v>
      </c>
      <c r="AQ180" s="30" t="n">
        <v>51.04</v>
      </c>
      <c r="AR180" s="30" t="s">
        <v>1005</v>
      </c>
      <c r="AS180" s="30" t="n">
        <v>76.23</v>
      </c>
      <c r="AT180" s="30" t="s">
        <v>1005</v>
      </c>
      <c r="AU180" s="30" t="n">
        <v>567.27</v>
      </c>
      <c r="AV180" s="30" t="n">
        <v>0.57245</v>
      </c>
      <c r="AW180" s="30" t="s">
        <v>1007</v>
      </c>
      <c r="AX180" s="30" t="s">
        <v>1008</v>
      </c>
      <c r="AY180" s="30" t="n">
        <v>0</v>
      </c>
      <c r="AZ180" s="30"/>
    </row>
    <row collapsed="false" customFormat="true" customHeight="true" hidden="false" ht="33" outlineLevel="0" r="181" s="73">
      <c r="A181" s="30" t="n">
        <v>187</v>
      </c>
      <c r="B181" s="30" t="s">
        <v>308</v>
      </c>
      <c r="C181" s="30" t="s">
        <v>1009</v>
      </c>
      <c r="D181" s="30" t="s">
        <v>999</v>
      </c>
      <c r="E181" s="30" t="s">
        <v>1010</v>
      </c>
      <c r="F181" s="30" t="s">
        <v>1011</v>
      </c>
      <c r="G181" s="30" t="s">
        <v>1002</v>
      </c>
      <c r="H181" s="30" t="s">
        <v>1003</v>
      </c>
      <c r="I181" s="30" t="n">
        <v>0</v>
      </c>
      <c r="J181" s="30"/>
      <c r="K181" s="30" t="n">
        <v>57</v>
      </c>
      <c r="L181" s="30"/>
      <c r="M181" s="30" t="s">
        <v>1012</v>
      </c>
      <c r="N181" s="30" t="s">
        <v>54</v>
      </c>
      <c r="O181" s="30"/>
      <c r="P181" s="30"/>
      <c r="Q181" s="30"/>
      <c r="R181" s="30"/>
      <c r="S181" s="30"/>
      <c r="T181" s="30"/>
      <c r="U181" s="30" t="n">
        <v>216.65</v>
      </c>
      <c r="V181" s="30" t="n">
        <v>215.08</v>
      </c>
      <c r="W181" s="30" t="n">
        <v>30.47</v>
      </c>
      <c r="X181" s="30" t="s">
        <v>1006</v>
      </c>
      <c r="Y181" s="30" t="n">
        <v>30.47</v>
      </c>
      <c r="Z181" s="30" t="s">
        <v>1006</v>
      </c>
      <c r="AA181" s="30" t="n">
        <v>30.47</v>
      </c>
      <c r="AB181" s="30" t="s">
        <v>1006</v>
      </c>
      <c r="AC181" s="30" t="n">
        <v>30.47</v>
      </c>
      <c r="AD181" s="30" t="s">
        <v>1006</v>
      </c>
      <c r="AE181" s="30" t="n">
        <v>8.84</v>
      </c>
      <c r="AF181" s="30" t="s">
        <v>1006</v>
      </c>
      <c r="AG181" s="30" t="n">
        <v>0</v>
      </c>
      <c r="AH181" s="30" t="s">
        <v>1006</v>
      </c>
      <c r="AI181" s="30" t="n">
        <v>0</v>
      </c>
      <c r="AJ181" s="30" t="s">
        <v>1006</v>
      </c>
      <c r="AK181" s="30" t="n">
        <v>0</v>
      </c>
      <c r="AL181" s="30" t="s">
        <v>1006</v>
      </c>
      <c r="AM181" s="30" t="n">
        <v>0</v>
      </c>
      <c r="AN181" s="30" t="s">
        <v>1006</v>
      </c>
      <c r="AO181" s="30" t="n">
        <v>29.22</v>
      </c>
      <c r="AP181" s="30" t="s">
        <v>1006</v>
      </c>
      <c r="AQ181" s="30" t="n">
        <v>29.22</v>
      </c>
      <c r="AR181" s="30" t="s">
        <v>1006</v>
      </c>
      <c r="AS181" s="30" t="n">
        <v>29.22</v>
      </c>
      <c r="AT181" s="30" t="s">
        <v>1006</v>
      </c>
      <c r="AU181" s="30" t="n">
        <v>218.38</v>
      </c>
      <c r="AV181" s="30" t="n">
        <v>0.126</v>
      </c>
      <c r="AW181" s="30" t="s">
        <v>1013</v>
      </c>
      <c r="AX181" s="30" t="s">
        <v>1008</v>
      </c>
      <c r="AY181" s="30" t="n">
        <v>1</v>
      </c>
      <c r="AZ181" s="30"/>
    </row>
    <row collapsed="false" customFormat="true" customHeight="true" hidden="false" ht="33" outlineLevel="0" r="182" s="73">
      <c r="A182" s="30" t="n">
        <v>188</v>
      </c>
      <c r="B182" s="30" t="s">
        <v>309</v>
      </c>
      <c r="C182" s="30" t="s">
        <v>1009</v>
      </c>
      <c r="D182" s="30" t="s">
        <v>999</v>
      </c>
      <c r="E182" s="30" t="s">
        <v>1010</v>
      </c>
      <c r="F182" s="30" t="s">
        <v>1011</v>
      </c>
      <c r="G182" s="30" t="s">
        <v>1002</v>
      </c>
      <c r="H182" s="30" t="s">
        <v>1003</v>
      </c>
      <c r="I182" s="30" t="n">
        <v>2</v>
      </c>
      <c r="J182" s="30"/>
      <c r="K182" s="30" t="n">
        <v>57</v>
      </c>
      <c r="L182" s="30"/>
      <c r="M182" s="30" t="s">
        <v>1012</v>
      </c>
      <c r="N182" s="30" t="s">
        <v>54</v>
      </c>
      <c r="O182" s="30"/>
      <c r="P182" s="30"/>
      <c r="Q182" s="30"/>
      <c r="R182" s="30"/>
      <c r="S182" s="30"/>
      <c r="T182" s="30"/>
      <c r="U182" s="30" t="n">
        <v>592.08</v>
      </c>
      <c r="V182" s="30" t="n">
        <v>636.15</v>
      </c>
      <c r="W182" s="30" t="n">
        <v>119.72</v>
      </c>
      <c r="X182" s="30" t="s">
        <v>1006</v>
      </c>
      <c r="Y182" s="30" t="n">
        <v>116.05</v>
      </c>
      <c r="Z182" s="30" t="s">
        <v>1006</v>
      </c>
      <c r="AA182" s="30" t="n">
        <v>116.05</v>
      </c>
      <c r="AB182" s="30" t="s">
        <v>1006</v>
      </c>
      <c r="AC182" s="30" t="n">
        <v>16.05</v>
      </c>
      <c r="AD182" s="30" t="s">
        <v>1006</v>
      </c>
      <c r="AE182" s="30" t="n">
        <v>33.69</v>
      </c>
      <c r="AF182" s="30" t="s">
        <v>1006</v>
      </c>
      <c r="AG182" s="30" t="n">
        <v>0</v>
      </c>
      <c r="AH182" s="30" t="s">
        <v>1006</v>
      </c>
      <c r="AI182" s="30" t="n">
        <v>0</v>
      </c>
      <c r="AJ182" s="30" t="s">
        <v>1006</v>
      </c>
      <c r="AK182" s="30" t="n">
        <v>0</v>
      </c>
      <c r="AL182" s="30" t="s">
        <v>1006</v>
      </c>
      <c r="AM182" s="30" t="n">
        <v>0</v>
      </c>
      <c r="AN182" s="30" t="s">
        <v>1006</v>
      </c>
      <c r="AO182" s="30" t="n">
        <v>115.27</v>
      </c>
      <c r="AP182" s="30" t="s">
        <v>1006</v>
      </c>
      <c r="AQ182" s="30" t="n">
        <v>115.27</v>
      </c>
      <c r="AR182" s="30" t="s">
        <v>1006</v>
      </c>
      <c r="AS182" s="30" t="n">
        <v>115.27</v>
      </c>
      <c r="AT182" s="30" t="s">
        <v>1006</v>
      </c>
      <c r="AU182" s="30" t="n">
        <v>747.37</v>
      </c>
      <c r="AV182" s="30" t="n">
        <v>0.37</v>
      </c>
      <c r="AW182" s="30" t="s">
        <v>1013</v>
      </c>
      <c r="AX182" s="30" t="s">
        <v>1008</v>
      </c>
      <c r="AY182" s="30" t="n">
        <v>2</v>
      </c>
      <c r="AZ182" s="30"/>
    </row>
    <row collapsed="false" customFormat="true" customHeight="true" hidden="false" ht="33" outlineLevel="0" r="183" s="73">
      <c r="A183" s="30" t="n">
        <v>189</v>
      </c>
      <c r="B183" s="30" t="s">
        <v>310</v>
      </c>
      <c r="C183" s="30" t="s">
        <v>1009</v>
      </c>
      <c r="D183" s="30" t="s">
        <v>999</v>
      </c>
      <c r="E183" s="30" t="s">
        <v>1010</v>
      </c>
      <c r="F183" s="30" t="s">
        <v>1011</v>
      </c>
      <c r="G183" s="30" t="s">
        <v>1002</v>
      </c>
      <c r="H183" s="30" t="s">
        <v>1003</v>
      </c>
      <c r="I183" s="30" t="n">
        <v>0</v>
      </c>
      <c r="J183" s="30"/>
      <c r="K183" s="30" t="n">
        <v>57</v>
      </c>
      <c r="L183" s="30"/>
      <c r="M183" s="30" t="s">
        <v>1012</v>
      </c>
      <c r="N183" s="30" t="s">
        <v>54</v>
      </c>
      <c r="O183" s="30"/>
      <c r="P183" s="30"/>
      <c r="Q183" s="30"/>
      <c r="R183" s="30"/>
      <c r="S183" s="30"/>
      <c r="T183" s="30"/>
      <c r="U183" s="30" t="n">
        <v>198.8</v>
      </c>
      <c r="V183" s="30" t="n">
        <v>211.1</v>
      </c>
      <c r="W183" s="30" t="n">
        <v>32.15</v>
      </c>
      <c r="X183" s="30" t="s">
        <v>1006</v>
      </c>
      <c r="Y183" s="30" t="n">
        <v>32.15</v>
      </c>
      <c r="Z183" s="30" t="s">
        <v>1006</v>
      </c>
      <c r="AA183" s="30" t="n">
        <v>32.15</v>
      </c>
      <c r="AB183" s="30" t="s">
        <v>1006</v>
      </c>
      <c r="AC183" s="30" t="n">
        <v>32.15</v>
      </c>
      <c r="AD183" s="30" t="s">
        <v>1006</v>
      </c>
      <c r="AE183" s="30" t="n">
        <v>9.33</v>
      </c>
      <c r="AF183" s="30" t="s">
        <v>1006</v>
      </c>
      <c r="AG183" s="30" t="n">
        <v>0</v>
      </c>
      <c r="AH183" s="30" t="s">
        <v>1006</v>
      </c>
      <c r="AI183" s="30" t="n">
        <v>0</v>
      </c>
      <c r="AJ183" s="30" t="s">
        <v>1006</v>
      </c>
      <c r="AK183" s="30" t="n">
        <v>0</v>
      </c>
      <c r="AL183" s="30" t="s">
        <v>1006</v>
      </c>
      <c r="AM183" s="30" t="n">
        <v>0</v>
      </c>
      <c r="AN183" s="30" t="s">
        <v>1006</v>
      </c>
      <c r="AO183" s="30" t="n">
        <v>29.1</v>
      </c>
      <c r="AP183" s="30" t="s">
        <v>1006</v>
      </c>
      <c r="AQ183" s="30" t="n">
        <v>29.1</v>
      </c>
      <c r="AR183" s="30" t="s">
        <v>1006</v>
      </c>
      <c r="AS183" s="30" t="n">
        <v>29.1</v>
      </c>
      <c r="AT183" s="30" t="s">
        <v>1006</v>
      </c>
      <c r="AU183" s="30" t="n">
        <v>225.23</v>
      </c>
      <c r="AV183" s="30" t="n">
        <v>0.1226</v>
      </c>
      <c r="AW183" s="30" t="s">
        <v>1013</v>
      </c>
      <c r="AX183" s="30" t="s">
        <v>1008</v>
      </c>
      <c r="AY183" s="30" t="n">
        <v>1</v>
      </c>
      <c r="AZ183" s="30"/>
    </row>
    <row collapsed="false" customFormat="true" customHeight="true" hidden="false" ht="33" outlineLevel="0" r="184" s="73">
      <c r="A184" s="30" t="n">
        <v>190</v>
      </c>
      <c r="B184" s="30" t="s">
        <v>312</v>
      </c>
      <c r="C184" s="30" t="s">
        <v>1009</v>
      </c>
      <c r="D184" s="30" t="s">
        <v>999</v>
      </c>
      <c r="E184" s="30" t="s">
        <v>1000</v>
      </c>
      <c r="F184" s="30" t="s">
        <v>1011</v>
      </c>
      <c r="G184" s="30" t="s">
        <v>1002</v>
      </c>
      <c r="H184" s="30" t="s">
        <v>1003</v>
      </c>
      <c r="I184" s="30" t="n">
        <v>1</v>
      </c>
      <c r="J184" s="30"/>
      <c r="K184" s="30" t="n">
        <v>76</v>
      </c>
      <c r="L184" s="30"/>
      <c r="M184" s="30" t="s">
        <v>1004</v>
      </c>
      <c r="N184" s="30" t="s">
        <v>54</v>
      </c>
      <c r="O184" s="30"/>
      <c r="P184" s="30"/>
      <c r="Q184" s="30"/>
      <c r="R184" s="30"/>
      <c r="S184" s="30"/>
      <c r="T184" s="30"/>
      <c r="U184" s="30" t="n">
        <v>231.22</v>
      </c>
      <c r="V184" s="30" t="n">
        <v>304.99</v>
      </c>
      <c r="W184" s="30" t="n">
        <v>47.99</v>
      </c>
      <c r="X184" s="30" t="s">
        <v>1005</v>
      </c>
      <c r="Y184" s="30" t="n">
        <v>36.67</v>
      </c>
      <c r="Z184" s="30" t="s">
        <v>1005</v>
      </c>
      <c r="AA184" s="30" t="n">
        <v>54.66</v>
      </c>
      <c r="AB184" s="30" t="s">
        <v>1005</v>
      </c>
      <c r="AC184" s="30" t="n">
        <v>18.88</v>
      </c>
      <c r="AD184" s="30" t="s">
        <v>1005</v>
      </c>
      <c r="AE184" s="30" t="n">
        <v>12.21</v>
      </c>
      <c r="AF184" s="30" t="s">
        <v>1005</v>
      </c>
      <c r="AG184" s="30" t="n">
        <v>0</v>
      </c>
      <c r="AH184" s="30" t="s">
        <v>1005</v>
      </c>
      <c r="AI184" s="30" t="n">
        <v>0</v>
      </c>
      <c r="AJ184" s="30" t="s">
        <v>1005</v>
      </c>
      <c r="AK184" s="30" t="n">
        <v>0</v>
      </c>
      <c r="AL184" s="30" t="s">
        <v>1005</v>
      </c>
      <c r="AM184" s="30" t="n">
        <v>0</v>
      </c>
      <c r="AN184" s="30" t="s">
        <v>1005</v>
      </c>
      <c r="AO184" s="30" t="n">
        <v>21.52</v>
      </c>
      <c r="AP184" s="30" t="s">
        <v>1005</v>
      </c>
      <c r="AQ184" s="30" t="n">
        <v>27.74</v>
      </c>
      <c r="AR184" s="30" t="s">
        <v>1005</v>
      </c>
      <c r="AS184" s="30" t="n">
        <v>39.03</v>
      </c>
      <c r="AT184" s="30" t="s">
        <v>1005</v>
      </c>
      <c r="AU184" s="30" t="n">
        <v>258.7</v>
      </c>
      <c r="AV184" s="30" t="n">
        <v>0.152</v>
      </c>
      <c r="AW184" s="30" t="s">
        <v>1007</v>
      </c>
      <c r="AX184" s="30" t="s">
        <v>1008</v>
      </c>
      <c r="AY184" s="30" t="n">
        <v>1</v>
      </c>
      <c r="AZ184" s="30"/>
    </row>
    <row collapsed="false" customFormat="true" customHeight="true" hidden="false" ht="33" outlineLevel="0" r="185" s="73">
      <c r="A185" s="30" t="n">
        <v>192</v>
      </c>
      <c r="B185" s="30" t="s">
        <v>316</v>
      </c>
      <c r="C185" s="30" t="s">
        <v>1009</v>
      </c>
      <c r="D185" s="30" t="s">
        <v>999</v>
      </c>
      <c r="E185" s="30" t="s">
        <v>1000</v>
      </c>
      <c r="F185" s="30" t="s">
        <v>1001</v>
      </c>
      <c r="G185" s="30" t="s">
        <v>1002</v>
      </c>
      <c r="H185" s="30" t="s">
        <v>1003</v>
      </c>
      <c r="I185" s="30" t="n">
        <v>1</v>
      </c>
      <c r="J185" s="30"/>
      <c r="K185" s="30" t="n">
        <v>50</v>
      </c>
      <c r="L185" s="30" t="n">
        <v>5.5</v>
      </c>
      <c r="M185" s="30" t="s">
        <v>1004</v>
      </c>
      <c r="N185" s="30" t="s">
        <v>54</v>
      </c>
      <c r="O185" s="30"/>
      <c r="P185" s="30"/>
      <c r="Q185" s="30"/>
      <c r="R185" s="30"/>
      <c r="S185" s="30"/>
      <c r="T185" s="30"/>
      <c r="U185" s="30" t="n">
        <v>123.03</v>
      </c>
      <c r="V185" s="30" t="n">
        <v>134.23</v>
      </c>
      <c r="W185" s="30" t="n">
        <v>26.43</v>
      </c>
      <c r="X185" s="30" t="s">
        <v>1005</v>
      </c>
      <c r="Y185" s="30" t="n">
        <v>17.52</v>
      </c>
      <c r="Z185" s="30" t="s">
        <v>1005</v>
      </c>
      <c r="AA185" s="30" t="n">
        <v>25.45</v>
      </c>
      <c r="AB185" s="30" t="s">
        <v>1005</v>
      </c>
      <c r="AC185" s="30" t="n">
        <v>9.2</v>
      </c>
      <c r="AD185" s="30" t="s">
        <v>1005</v>
      </c>
      <c r="AE185" s="30" t="n">
        <v>4.21</v>
      </c>
      <c r="AF185" s="30" t="s">
        <v>1005</v>
      </c>
      <c r="AG185" s="30" t="n">
        <v>0</v>
      </c>
      <c r="AH185" s="30" t="s">
        <v>1006</v>
      </c>
      <c r="AI185" s="30" t="n">
        <v>0</v>
      </c>
      <c r="AJ185" s="30" t="s">
        <v>1006</v>
      </c>
      <c r="AK185" s="30" t="n">
        <v>0</v>
      </c>
      <c r="AL185" s="30" t="s">
        <v>1006</v>
      </c>
      <c r="AM185" s="30" t="n">
        <v>0</v>
      </c>
      <c r="AN185" s="30"/>
      <c r="AO185" s="30" t="n">
        <v>10.15</v>
      </c>
      <c r="AP185" s="30" t="s">
        <v>1005</v>
      </c>
      <c r="AQ185" s="30" t="n">
        <v>10.03</v>
      </c>
      <c r="AR185" s="30" t="s">
        <v>1005</v>
      </c>
      <c r="AS185" s="30" t="n">
        <v>14.07</v>
      </c>
      <c r="AT185" s="30" t="s">
        <v>1005</v>
      </c>
      <c r="AU185" s="30" t="n">
        <v>117.06</v>
      </c>
      <c r="AV185" s="30" t="n">
        <v>0.05922</v>
      </c>
      <c r="AW185" s="30" t="s">
        <v>1007</v>
      </c>
      <c r="AX185" s="30" t="s">
        <v>1008</v>
      </c>
      <c r="AY185" s="30" t="n">
        <v>0</v>
      </c>
      <c r="AZ185" s="30"/>
    </row>
    <row collapsed="false" customFormat="true" customHeight="true" hidden="false" ht="33" outlineLevel="0" r="186" s="73">
      <c r="A186" s="30" t="n">
        <v>194</v>
      </c>
      <c r="B186" s="30" t="s">
        <v>318</v>
      </c>
      <c r="C186" s="30" t="s">
        <v>1009</v>
      </c>
      <c r="D186" s="30" t="s">
        <v>999</v>
      </c>
      <c r="E186" s="30" t="s">
        <v>1000</v>
      </c>
      <c r="F186" s="30" t="s">
        <v>1001</v>
      </c>
      <c r="G186" s="30" t="s">
        <v>1002</v>
      </c>
      <c r="H186" s="30" t="s">
        <v>1003</v>
      </c>
      <c r="I186" s="30" t="n">
        <v>1</v>
      </c>
      <c r="J186" s="30"/>
      <c r="K186" s="30" t="n">
        <v>50</v>
      </c>
      <c r="L186" s="30" t="n">
        <v>5.5</v>
      </c>
      <c r="M186" s="30" t="s">
        <v>1004</v>
      </c>
      <c r="N186" s="30" t="s">
        <v>53</v>
      </c>
      <c r="O186" s="30"/>
      <c r="P186" s="30"/>
      <c r="Q186" s="30"/>
      <c r="R186" s="30"/>
      <c r="S186" s="30"/>
      <c r="T186" s="30"/>
      <c r="U186" s="30" t="n">
        <v>113.43</v>
      </c>
      <c r="V186" s="30" t="n">
        <v>109.7</v>
      </c>
      <c r="W186" s="30" t="n">
        <v>13.68</v>
      </c>
      <c r="X186" s="30" t="s">
        <v>1006</v>
      </c>
      <c r="Y186" s="30" t="n">
        <v>13.68</v>
      </c>
      <c r="Z186" s="30" t="s">
        <v>1005</v>
      </c>
      <c r="AA186" s="30" t="n">
        <v>13.68</v>
      </c>
      <c r="AB186" s="30" t="s">
        <v>1005</v>
      </c>
      <c r="AC186" s="30" t="n">
        <v>13.68</v>
      </c>
      <c r="AD186" s="30" t="s">
        <v>1005</v>
      </c>
      <c r="AE186" s="30" t="n">
        <v>3.97</v>
      </c>
      <c r="AF186" s="30" t="s">
        <v>1005</v>
      </c>
      <c r="AG186" s="30" t="n">
        <v>0</v>
      </c>
      <c r="AH186" s="30" t="s">
        <v>1006</v>
      </c>
      <c r="AI186" s="30" t="n">
        <v>0</v>
      </c>
      <c r="AJ186" s="30" t="s">
        <v>1006</v>
      </c>
      <c r="AK186" s="30" t="n">
        <v>0</v>
      </c>
      <c r="AL186" s="30" t="s">
        <v>1006</v>
      </c>
      <c r="AM186" s="30" t="n">
        <v>0</v>
      </c>
      <c r="AN186" s="30"/>
      <c r="AO186" s="30" t="n">
        <v>14.38</v>
      </c>
      <c r="AP186" s="30" t="s">
        <v>1006</v>
      </c>
      <c r="AQ186" s="30" t="n">
        <v>14.38</v>
      </c>
      <c r="AR186" s="30" t="s">
        <v>1006</v>
      </c>
      <c r="AS186" s="30" t="n">
        <v>14.38</v>
      </c>
      <c r="AT186" s="30" t="s">
        <v>1006</v>
      </c>
      <c r="AU186" s="30" t="n">
        <v>101.83</v>
      </c>
      <c r="AV186" s="30" t="n">
        <v>0.074897</v>
      </c>
      <c r="AW186" s="30" t="s">
        <v>1007</v>
      </c>
      <c r="AX186" s="30" t="s">
        <v>1008</v>
      </c>
      <c r="AY186" s="30" t="n">
        <v>0</v>
      </c>
      <c r="AZ186" s="30"/>
    </row>
    <row collapsed="false" customFormat="true" customHeight="true" hidden="false" ht="33" outlineLevel="0" r="187" s="73">
      <c r="A187" s="30" t="n">
        <v>195</v>
      </c>
      <c r="B187" s="30" t="s">
        <v>319</v>
      </c>
      <c r="C187" s="30" t="s">
        <v>1009</v>
      </c>
      <c r="D187" s="30" t="s">
        <v>999</v>
      </c>
      <c r="E187" s="30" t="s">
        <v>1000</v>
      </c>
      <c r="F187" s="30" t="s">
        <v>1001</v>
      </c>
      <c r="G187" s="30" t="s">
        <v>1002</v>
      </c>
      <c r="H187" s="30" t="s">
        <v>1003</v>
      </c>
      <c r="I187" s="30" t="n">
        <v>1</v>
      </c>
      <c r="J187" s="30"/>
      <c r="K187" s="30" t="n">
        <v>50</v>
      </c>
      <c r="L187" s="30" t="n">
        <v>5.5</v>
      </c>
      <c r="M187" s="30" t="s">
        <v>1004</v>
      </c>
      <c r="N187" s="30" t="s">
        <v>53</v>
      </c>
      <c r="O187" s="30"/>
      <c r="P187" s="30"/>
      <c r="Q187" s="30"/>
      <c r="R187" s="30"/>
      <c r="S187" s="30"/>
      <c r="T187" s="30"/>
      <c r="U187" s="30" t="n">
        <v>129.21</v>
      </c>
      <c r="V187" s="30" t="n">
        <v>119.7</v>
      </c>
      <c r="W187" s="30" t="n">
        <v>13.97</v>
      </c>
      <c r="X187" s="30" t="s">
        <v>1006</v>
      </c>
      <c r="Y187" s="30" t="n">
        <v>13.97</v>
      </c>
      <c r="Z187" s="30" t="s">
        <v>1005</v>
      </c>
      <c r="AA187" s="30" t="n">
        <v>13.97</v>
      </c>
      <c r="AB187" s="30" t="s">
        <v>1005</v>
      </c>
      <c r="AC187" s="30" t="n">
        <v>13.97</v>
      </c>
      <c r="AD187" s="30" t="s">
        <v>1005</v>
      </c>
      <c r="AE187" s="30" t="n">
        <v>4.06</v>
      </c>
      <c r="AF187" s="30" t="s">
        <v>1005</v>
      </c>
      <c r="AG187" s="30" t="n">
        <v>0</v>
      </c>
      <c r="AH187" s="30" t="s">
        <v>1006</v>
      </c>
      <c r="AI187" s="30" t="n">
        <v>0</v>
      </c>
      <c r="AJ187" s="30" t="s">
        <v>1006</v>
      </c>
      <c r="AK187" s="30" t="n">
        <v>0</v>
      </c>
      <c r="AL187" s="30" t="s">
        <v>1006</v>
      </c>
      <c r="AM187" s="30" t="n">
        <v>0</v>
      </c>
      <c r="AN187" s="30"/>
      <c r="AO187" s="30" t="n">
        <v>15.28</v>
      </c>
      <c r="AP187" s="30" t="s">
        <v>1006</v>
      </c>
      <c r="AQ187" s="30" t="n">
        <v>15.28</v>
      </c>
      <c r="AR187" s="30" t="s">
        <v>1006</v>
      </c>
      <c r="AS187" s="30" t="n">
        <v>15.28</v>
      </c>
      <c r="AT187" s="30" t="s">
        <v>1006</v>
      </c>
      <c r="AU187" s="30" t="n">
        <v>105.78</v>
      </c>
      <c r="AV187" s="30" t="n">
        <v>0.07939</v>
      </c>
      <c r="AW187" s="30" t="s">
        <v>1007</v>
      </c>
      <c r="AX187" s="30" t="s">
        <v>1008</v>
      </c>
      <c r="AY187" s="30" t="n">
        <v>0</v>
      </c>
      <c r="AZ187" s="30"/>
    </row>
    <row collapsed="false" customFormat="true" customHeight="true" hidden="false" ht="33" outlineLevel="0" r="188" s="73">
      <c r="A188" s="30" t="n">
        <v>200</v>
      </c>
      <c r="B188" s="30" t="s">
        <v>327</v>
      </c>
      <c r="C188" s="30" t="s">
        <v>1009</v>
      </c>
      <c r="D188" s="30" t="s">
        <v>999</v>
      </c>
      <c r="E188" s="30" t="s">
        <v>1010</v>
      </c>
      <c r="F188" s="30" t="s">
        <v>1011</v>
      </c>
      <c r="G188" s="30" t="s">
        <v>1002</v>
      </c>
      <c r="H188" s="30" t="s">
        <v>1003</v>
      </c>
      <c r="I188" s="30" t="n">
        <v>1</v>
      </c>
      <c r="J188" s="30"/>
      <c r="K188" s="30" t="n">
        <v>57</v>
      </c>
      <c r="L188" s="30"/>
      <c r="M188" s="30" t="s">
        <v>1012</v>
      </c>
      <c r="N188" s="30" t="s">
        <v>54</v>
      </c>
      <c r="O188" s="30"/>
      <c r="P188" s="30"/>
      <c r="Q188" s="30"/>
      <c r="R188" s="30"/>
      <c r="S188" s="30"/>
      <c r="T188" s="30"/>
      <c r="U188" s="30" t="n">
        <v>228.82</v>
      </c>
      <c r="V188" s="30" t="n">
        <v>274.69</v>
      </c>
      <c r="W188" s="30" t="n">
        <v>51.93</v>
      </c>
      <c r="X188" s="30" t="s">
        <v>1005</v>
      </c>
      <c r="Y188" s="30" t="n">
        <v>34.56</v>
      </c>
      <c r="Z188" s="30" t="s">
        <v>1005</v>
      </c>
      <c r="AA188" s="30" t="n">
        <v>54.96</v>
      </c>
      <c r="AB188" s="30" t="s">
        <v>1005</v>
      </c>
      <c r="AC188" s="30" t="n">
        <v>16.98</v>
      </c>
      <c r="AD188" s="30" t="s">
        <v>1005</v>
      </c>
      <c r="AE188" s="30" t="n">
        <v>8.06</v>
      </c>
      <c r="AF188" s="30" t="s">
        <v>1005</v>
      </c>
      <c r="AG188" s="30" t="n">
        <v>0</v>
      </c>
      <c r="AH188" s="30" t="s">
        <v>1005</v>
      </c>
      <c r="AI188" s="30" t="n">
        <v>0</v>
      </c>
      <c r="AJ188" s="30" t="s">
        <v>1005</v>
      </c>
      <c r="AK188" s="30" t="n">
        <v>0</v>
      </c>
      <c r="AL188" s="30" t="s">
        <v>1005</v>
      </c>
      <c r="AM188" s="30" t="n">
        <v>0</v>
      </c>
      <c r="AN188" s="30" t="s">
        <v>1005</v>
      </c>
      <c r="AO188" s="30" t="n">
        <v>20.43</v>
      </c>
      <c r="AP188" s="30" t="s">
        <v>1005</v>
      </c>
      <c r="AQ188" s="30" t="n">
        <v>23.03</v>
      </c>
      <c r="AR188" s="30" t="s">
        <v>1005</v>
      </c>
      <c r="AS188" s="30" t="n">
        <v>34.59</v>
      </c>
      <c r="AT188" s="30" t="s">
        <v>1005</v>
      </c>
      <c r="AU188" s="30" t="n">
        <v>244.54</v>
      </c>
      <c r="AV188" s="30" t="n">
        <v>0.13431</v>
      </c>
      <c r="AW188" s="30" t="s">
        <v>1013</v>
      </c>
      <c r="AX188" s="30" t="s">
        <v>1008</v>
      </c>
      <c r="AY188" s="30" t="n">
        <v>1</v>
      </c>
      <c r="AZ188" s="30"/>
    </row>
    <row collapsed="false" customFormat="true" customHeight="true" hidden="false" ht="33" outlineLevel="0" r="189" s="73">
      <c r="A189" s="30" t="n">
        <v>201</v>
      </c>
      <c r="B189" s="30" t="s">
        <v>328</v>
      </c>
      <c r="C189" s="30" t="s">
        <v>1009</v>
      </c>
      <c r="D189" s="30" t="s">
        <v>999</v>
      </c>
      <c r="E189" s="30" t="s">
        <v>1010</v>
      </c>
      <c r="F189" s="30" t="s">
        <v>1011</v>
      </c>
      <c r="G189" s="30" t="s">
        <v>1002</v>
      </c>
      <c r="H189" s="30" t="s">
        <v>1003</v>
      </c>
      <c r="I189" s="30" t="n">
        <v>1</v>
      </c>
      <c r="J189" s="30"/>
      <c r="K189" s="30" t="n">
        <v>57</v>
      </c>
      <c r="L189" s="30"/>
      <c r="M189" s="30" t="s">
        <v>1012</v>
      </c>
      <c r="N189" s="30" t="s">
        <v>54</v>
      </c>
      <c r="O189" s="30"/>
      <c r="P189" s="30"/>
      <c r="Q189" s="30"/>
      <c r="R189" s="30"/>
      <c r="S189" s="30"/>
      <c r="T189" s="30"/>
      <c r="U189" s="30" t="n">
        <v>252.33</v>
      </c>
      <c r="V189" s="30" t="n">
        <v>392.94</v>
      </c>
      <c r="W189" s="30" t="n">
        <v>72.71</v>
      </c>
      <c r="X189" s="30" t="s">
        <v>1005</v>
      </c>
      <c r="Y189" s="30" t="n">
        <v>52.84</v>
      </c>
      <c r="Z189" s="30" t="s">
        <v>1005</v>
      </c>
      <c r="AA189" s="30" t="n">
        <v>74.49</v>
      </c>
      <c r="AB189" s="30" t="s">
        <v>1005</v>
      </c>
      <c r="AC189" s="30" t="n">
        <v>31.43</v>
      </c>
      <c r="AD189" s="30" t="s">
        <v>1005</v>
      </c>
      <c r="AE189" s="30" t="n">
        <v>8.62</v>
      </c>
      <c r="AF189" s="30" t="s">
        <v>1005</v>
      </c>
      <c r="AG189" s="30" t="n">
        <v>0</v>
      </c>
      <c r="AH189" s="30" t="s">
        <v>1005</v>
      </c>
      <c r="AI189" s="30" t="n">
        <v>0</v>
      </c>
      <c r="AJ189" s="30" t="s">
        <v>1005</v>
      </c>
      <c r="AK189" s="30" t="n">
        <v>0</v>
      </c>
      <c r="AL189" s="30" t="s">
        <v>1005</v>
      </c>
      <c r="AM189" s="30" t="n">
        <v>0</v>
      </c>
      <c r="AN189" s="30" t="s">
        <v>1005</v>
      </c>
      <c r="AO189" s="30" t="n">
        <v>26.92</v>
      </c>
      <c r="AP189" s="30" t="s">
        <v>1005</v>
      </c>
      <c r="AQ189" s="30" t="n">
        <v>28.81</v>
      </c>
      <c r="AR189" s="30" t="s">
        <v>1005</v>
      </c>
      <c r="AS189" s="30" t="n">
        <v>33.72</v>
      </c>
      <c r="AT189" s="30" t="s">
        <v>1005</v>
      </c>
      <c r="AU189" s="30" t="n">
        <v>329.54</v>
      </c>
      <c r="AV189" s="30" t="n">
        <v>0.14724</v>
      </c>
      <c r="AW189" s="30" t="s">
        <v>1013</v>
      </c>
      <c r="AX189" s="30" t="s">
        <v>1008</v>
      </c>
      <c r="AY189" s="30" t="n">
        <v>1</v>
      </c>
      <c r="AZ189" s="30"/>
    </row>
    <row collapsed="false" customFormat="true" customHeight="true" hidden="false" ht="33" outlineLevel="0" r="190" s="73">
      <c r="A190" s="30" t="n">
        <v>202</v>
      </c>
      <c r="B190" s="30" t="s">
        <v>329</v>
      </c>
      <c r="C190" s="30" t="s">
        <v>1009</v>
      </c>
      <c r="D190" s="30" t="s">
        <v>999</v>
      </c>
      <c r="E190" s="30" t="s">
        <v>1010</v>
      </c>
      <c r="F190" s="30" t="s">
        <v>1011</v>
      </c>
      <c r="G190" s="30" t="s">
        <v>1002</v>
      </c>
      <c r="H190" s="30" t="s">
        <v>1003</v>
      </c>
      <c r="I190" s="30" t="n">
        <v>1</v>
      </c>
      <c r="J190" s="30"/>
      <c r="K190" s="30" t="n">
        <v>57</v>
      </c>
      <c r="L190" s="30"/>
      <c r="M190" s="30" t="s">
        <v>1012</v>
      </c>
      <c r="N190" s="30" t="s">
        <v>54</v>
      </c>
      <c r="O190" s="30"/>
      <c r="P190" s="30"/>
      <c r="Q190" s="30"/>
      <c r="R190" s="30"/>
      <c r="S190" s="30"/>
      <c r="T190" s="30"/>
      <c r="U190" s="30" t="n">
        <v>263.68</v>
      </c>
      <c r="V190" s="30" t="n">
        <v>279.51</v>
      </c>
      <c r="W190" s="30" t="n">
        <v>96.31</v>
      </c>
      <c r="X190" s="30" t="s">
        <v>1005</v>
      </c>
      <c r="Y190" s="30" t="n">
        <v>61.51</v>
      </c>
      <c r="Z190" s="30" t="s">
        <v>1005</v>
      </c>
      <c r="AA190" s="30" t="n">
        <v>48.27</v>
      </c>
      <c r="AB190" s="30" t="s">
        <v>1006</v>
      </c>
      <c r="AC190" s="30" t="n">
        <v>48.27</v>
      </c>
      <c r="AD190" s="30" t="s">
        <v>1006</v>
      </c>
      <c r="AE190" s="30" t="n">
        <v>14.01</v>
      </c>
      <c r="AF190" s="30" t="s">
        <v>1006</v>
      </c>
      <c r="AG190" s="30" t="n">
        <v>0</v>
      </c>
      <c r="AH190" s="30" t="s">
        <v>1006</v>
      </c>
      <c r="AI190" s="30" t="n">
        <v>0</v>
      </c>
      <c r="AJ190" s="30" t="s">
        <v>1006</v>
      </c>
      <c r="AK190" s="30" t="n">
        <v>0</v>
      </c>
      <c r="AL190" s="30" t="s">
        <v>1006</v>
      </c>
      <c r="AM190" s="30" t="n">
        <v>0</v>
      </c>
      <c r="AN190" s="30" t="s">
        <v>1006</v>
      </c>
      <c r="AO190" s="30" t="n">
        <v>35.23</v>
      </c>
      <c r="AP190" s="30" t="s">
        <v>1005</v>
      </c>
      <c r="AQ190" s="30" t="n">
        <v>33.45</v>
      </c>
      <c r="AR190" s="30" t="s">
        <v>1005</v>
      </c>
      <c r="AS190" s="30" t="n">
        <v>45.52</v>
      </c>
      <c r="AT190" s="30" t="s">
        <v>1005</v>
      </c>
      <c r="AU190" s="30" t="n">
        <v>382.57</v>
      </c>
      <c r="AV190" s="30" t="n">
        <v>0.162</v>
      </c>
      <c r="AW190" s="30" t="s">
        <v>1013</v>
      </c>
      <c r="AX190" s="30" t="s">
        <v>1008</v>
      </c>
      <c r="AY190" s="30" t="n">
        <v>1</v>
      </c>
      <c r="AZ190" s="30"/>
    </row>
    <row collapsed="false" customFormat="true" customHeight="true" hidden="false" ht="33" outlineLevel="0" r="191" s="73">
      <c r="A191" s="30" t="n">
        <v>203</v>
      </c>
      <c r="B191" s="30" t="s">
        <v>331</v>
      </c>
      <c r="C191" s="30" t="s">
        <v>1009</v>
      </c>
      <c r="D191" s="30" t="s">
        <v>999</v>
      </c>
      <c r="E191" s="30" t="s">
        <v>1010</v>
      </c>
      <c r="F191" s="30" t="s">
        <v>1011</v>
      </c>
      <c r="G191" s="30" t="s">
        <v>1002</v>
      </c>
      <c r="H191" s="30" t="s">
        <v>1003</v>
      </c>
      <c r="I191" s="30" t="n">
        <v>1</v>
      </c>
      <c r="J191" s="30"/>
      <c r="K191" s="30" t="n">
        <v>57</v>
      </c>
      <c r="L191" s="30"/>
      <c r="M191" s="30" t="s">
        <v>1012</v>
      </c>
      <c r="N191" s="30" t="s">
        <v>54</v>
      </c>
      <c r="O191" s="30"/>
      <c r="P191" s="30"/>
      <c r="Q191" s="30"/>
      <c r="R191" s="30"/>
      <c r="S191" s="30"/>
      <c r="T191" s="30"/>
      <c r="U191" s="30" t="n">
        <v>169.76</v>
      </c>
      <c r="V191" s="30" t="n">
        <v>216.09</v>
      </c>
      <c r="W191" s="30" t="n">
        <v>51.63</v>
      </c>
      <c r="X191" s="30" t="s">
        <v>1005</v>
      </c>
      <c r="Y191" s="30" t="n">
        <v>32.91</v>
      </c>
      <c r="Z191" s="30" t="s">
        <v>1005</v>
      </c>
      <c r="AA191" s="30" t="n">
        <v>52.21</v>
      </c>
      <c r="AB191" s="30" t="s">
        <v>1005</v>
      </c>
      <c r="AC191" s="30" t="n">
        <v>10.44</v>
      </c>
      <c r="AD191" s="30" t="s">
        <v>1005</v>
      </c>
      <c r="AE191" s="30" t="n">
        <v>7.18</v>
      </c>
      <c r="AF191" s="30" t="s">
        <v>1005</v>
      </c>
      <c r="AG191" s="30" t="n">
        <v>0</v>
      </c>
      <c r="AH191" s="30" t="s">
        <v>1005</v>
      </c>
      <c r="AI191" s="30" t="n">
        <v>0</v>
      </c>
      <c r="AJ191" s="30" t="s">
        <v>1005</v>
      </c>
      <c r="AK191" s="30" t="n">
        <v>0</v>
      </c>
      <c r="AL191" s="30" t="s">
        <v>1005</v>
      </c>
      <c r="AM191" s="30" t="n">
        <v>0</v>
      </c>
      <c r="AN191" s="30" t="s">
        <v>1005</v>
      </c>
      <c r="AO191" s="30" t="n">
        <v>18.58</v>
      </c>
      <c r="AP191" s="30" t="s">
        <v>1005</v>
      </c>
      <c r="AQ191" s="30" t="n">
        <v>19.64</v>
      </c>
      <c r="AR191" s="30" t="s">
        <v>1005</v>
      </c>
      <c r="AS191" s="30" t="n">
        <v>25.88</v>
      </c>
      <c r="AT191" s="30" t="s">
        <v>1005</v>
      </c>
      <c r="AU191" s="30" t="n">
        <v>218.47</v>
      </c>
      <c r="AV191" s="30" t="n">
        <v>0.09899</v>
      </c>
      <c r="AW191" s="30" t="s">
        <v>1013</v>
      </c>
      <c r="AX191" s="30" t="s">
        <v>1008</v>
      </c>
      <c r="AY191" s="30" t="n">
        <v>1</v>
      </c>
      <c r="AZ191" s="30"/>
    </row>
    <row collapsed="false" customFormat="true" customHeight="true" hidden="false" ht="33" outlineLevel="0" r="192" s="73">
      <c r="A192" s="30" t="n">
        <v>204</v>
      </c>
      <c r="B192" s="30" t="s">
        <v>332</v>
      </c>
      <c r="C192" s="30" t="s">
        <v>1009</v>
      </c>
      <c r="D192" s="30" t="s">
        <v>999</v>
      </c>
      <c r="E192" s="30" t="s">
        <v>1010</v>
      </c>
      <c r="F192" s="30" t="s">
        <v>1011</v>
      </c>
      <c r="G192" s="30" t="s">
        <v>1002</v>
      </c>
      <c r="H192" s="30" t="s">
        <v>1003</v>
      </c>
      <c r="I192" s="30" t="n">
        <v>1</v>
      </c>
      <c r="J192" s="30"/>
      <c r="K192" s="30" t="n">
        <v>76</v>
      </c>
      <c r="L192" s="30"/>
      <c r="M192" s="30" t="s">
        <v>1012</v>
      </c>
      <c r="N192" s="30" t="s">
        <v>54</v>
      </c>
      <c r="O192" s="30"/>
      <c r="P192" s="30"/>
      <c r="Q192" s="30"/>
      <c r="R192" s="30"/>
      <c r="S192" s="30"/>
      <c r="T192" s="30"/>
      <c r="U192" s="30" t="n">
        <v>484.96</v>
      </c>
      <c r="V192" s="30" t="n">
        <v>521.95</v>
      </c>
      <c r="W192" s="30" t="n">
        <v>88.1</v>
      </c>
      <c r="X192" s="30" t="s">
        <v>1006</v>
      </c>
      <c r="Y192" s="30" t="n">
        <v>86.89</v>
      </c>
      <c r="Z192" s="30" t="s">
        <v>1006</v>
      </c>
      <c r="AA192" s="30" t="n">
        <v>86.89</v>
      </c>
      <c r="AB192" s="30" t="s">
        <v>1006</v>
      </c>
      <c r="AC192" s="30" t="n">
        <v>86.89</v>
      </c>
      <c r="AD192" s="30" t="s">
        <v>1006</v>
      </c>
      <c r="AE192" s="30" t="n">
        <v>25.23</v>
      </c>
      <c r="AF192" s="30" t="s">
        <v>1006</v>
      </c>
      <c r="AG192" s="30" t="n">
        <v>0</v>
      </c>
      <c r="AH192" s="30" t="s">
        <v>1006</v>
      </c>
      <c r="AI192" s="30" t="n">
        <v>0</v>
      </c>
      <c r="AJ192" s="30" t="s">
        <v>1006</v>
      </c>
      <c r="AK192" s="30" t="n">
        <v>0</v>
      </c>
      <c r="AL192" s="30" t="s">
        <v>1006</v>
      </c>
      <c r="AM192" s="30" t="n">
        <v>0</v>
      </c>
      <c r="AN192" s="30" t="s">
        <v>1006</v>
      </c>
      <c r="AO192" s="30" t="n">
        <v>41.57</v>
      </c>
      <c r="AP192" s="30" t="s">
        <v>1005</v>
      </c>
      <c r="AQ192" s="30" t="n">
        <v>62.28</v>
      </c>
      <c r="AR192" s="30" t="s">
        <v>1005</v>
      </c>
      <c r="AS192" s="30" t="n">
        <v>86.88</v>
      </c>
      <c r="AT192" s="30" t="s">
        <v>1005</v>
      </c>
      <c r="AU192" s="30" t="n">
        <v>564.73</v>
      </c>
      <c r="AV192" s="30" t="n">
        <v>0.30191</v>
      </c>
      <c r="AW192" s="30" t="s">
        <v>1013</v>
      </c>
      <c r="AX192" s="30" t="s">
        <v>1008</v>
      </c>
      <c r="AY192" s="30" t="n">
        <v>1</v>
      </c>
      <c r="AZ192" s="30"/>
    </row>
    <row collapsed="false" customFormat="true" customHeight="true" hidden="false" ht="33" outlineLevel="0" r="193" s="73">
      <c r="A193" s="30" t="n">
        <v>205</v>
      </c>
      <c r="B193" s="30" t="s">
        <v>334</v>
      </c>
      <c r="C193" s="30" t="s">
        <v>1009</v>
      </c>
      <c r="D193" s="30" t="s">
        <v>999</v>
      </c>
      <c r="E193" s="30" t="s">
        <v>1010</v>
      </c>
      <c r="F193" s="30" t="s">
        <v>1011</v>
      </c>
      <c r="G193" s="30" t="s">
        <v>1002</v>
      </c>
      <c r="H193" s="30" t="s">
        <v>1003</v>
      </c>
      <c r="I193" s="30" t="n">
        <v>1</v>
      </c>
      <c r="J193" s="30"/>
      <c r="K193" s="30" t="n">
        <v>76</v>
      </c>
      <c r="L193" s="30"/>
      <c r="M193" s="30" t="s">
        <v>1012</v>
      </c>
      <c r="N193" s="30" t="s">
        <v>54</v>
      </c>
      <c r="O193" s="30"/>
      <c r="P193" s="30"/>
      <c r="Q193" s="30"/>
      <c r="R193" s="30"/>
      <c r="S193" s="30"/>
      <c r="T193" s="30"/>
      <c r="U193" s="30" t="n">
        <v>664.3</v>
      </c>
      <c r="V193" s="30" t="n">
        <v>700.27</v>
      </c>
      <c r="W193" s="30" t="n">
        <v>123.63</v>
      </c>
      <c r="X193" s="30" t="s">
        <v>1005</v>
      </c>
      <c r="Y193" s="30" t="n">
        <v>87.94</v>
      </c>
      <c r="Z193" s="30" t="s">
        <v>1005</v>
      </c>
      <c r="AA193" s="30" t="n">
        <v>131.38</v>
      </c>
      <c r="AB193" s="30" t="s">
        <v>1005</v>
      </c>
      <c r="AC193" s="30" t="n">
        <v>35.78</v>
      </c>
      <c r="AD193" s="30" t="s">
        <v>1005</v>
      </c>
      <c r="AE193" s="30" t="n">
        <v>21.25</v>
      </c>
      <c r="AF193" s="30" t="s">
        <v>1006</v>
      </c>
      <c r="AG193" s="30" t="n">
        <v>0</v>
      </c>
      <c r="AH193" s="30" t="s">
        <v>1006</v>
      </c>
      <c r="AI193" s="30" t="n">
        <v>0</v>
      </c>
      <c r="AJ193" s="30" t="s">
        <v>1006</v>
      </c>
      <c r="AK193" s="30" t="n">
        <v>0</v>
      </c>
      <c r="AL193" s="30" t="s">
        <v>1006</v>
      </c>
      <c r="AM193" s="30" t="n">
        <v>0</v>
      </c>
      <c r="AN193" s="30" t="s">
        <v>1006</v>
      </c>
      <c r="AO193" s="30" t="n">
        <v>51.92</v>
      </c>
      <c r="AP193" s="30" t="s">
        <v>1005</v>
      </c>
      <c r="AQ193" s="30" t="n">
        <v>44.04</v>
      </c>
      <c r="AR193" s="30" t="s">
        <v>1005</v>
      </c>
      <c r="AS193" s="30" t="n">
        <v>63.82</v>
      </c>
      <c r="AT193" s="30" t="s">
        <v>1005</v>
      </c>
      <c r="AU193" s="30" t="n">
        <v>559.76</v>
      </c>
      <c r="AV193" s="30" t="n">
        <v>0.385</v>
      </c>
      <c r="AW193" s="30" t="s">
        <v>1013</v>
      </c>
      <c r="AX193" s="30" t="s">
        <v>1008</v>
      </c>
      <c r="AY193" s="30" t="n">
        <v>1</v>
      </c>
      <c r="AZ193" s="30"/>
    </row>
    <row collapsed="false" customFormat="true" customHeight="true" hidden="false" ht="33" outlineLevel="0" r="194" s="73">
      <c r="A194" s="30" t="n">
        <v>207</v>
      </c>
      <c r="B194" s="30" t="s">
        <v>338</v>
      </c>
      <c r="C194" s="30" t="s">
        <v>1009</v>
      </c>
      <c r="D194" s="30" t="s">
        <v>999</v>
      </c>
      <c r="E194" s="30" t="s">
        <v>1000</v>
      </c>
      <c r="F194" s="30" t="s">
        <v>1001</v>
      </c>
      <c r="G194" s="30" t="s">
        <v>1002</v>
      </c>
      <c r="H194" s="30" t="s">
        <v>1003</v>
      </c>
      <c r="I194" s="30" t="n">
        <v>1</v>
      </c>
      <c r="J194" s="30"/>
      <c r="K194" s="30" t="n">
        <v>50</v>
      </c>
      <c r="L194" s="30" t="n">
        <v>5.5</v>
      </c>
      <c r="M194" s="30" t="s">
        <v>1004</v>
      </c>
      <c r="N194" s="30" t="s">
        <v>54</v>
      </c>
      <c r="O194" s="30"/>
      <c r="P194" s="30"/>
      <c r="Q194" s="30"/>
      <c r="R194" s="30"/>
      <c r="S194" s="30"/>
      <c r="T194" s="30"/>
      <c r="U194" s="30" t="n">
        <v>127.47</v>
      </c>
      <c r="V194" s="30" t="n">
        <v>143.58</v>
      </c>
      <c r="W194" s="30" t="n">
        <v>29.74</v>
      </c>
      <c r="X194" s="30" t="s">
        <v>1005</v>
      </c>
      <c r="Y194" s="30" t="n">
        <v>21.18</v>
      </c>
      <c r="Z194" s="30" t="s">
        <v>1005</v>
      </c>
      <c r="AA194" s="30" t="n">
        <v>27.77</v>
      </c>
      <c r="AB194" s="30" t="s">
        <v>1005</v>
      </c>
      <c r="AC194" s="30" t="n">
        <v>12.2</v>
      </c>
      <c r="AD194" s="30" t="s">
        <v>1005</v>
      </c>
      <c r="AE194" s="30" t="n">
        <v>5.65</v>
      </c>
      <c r="AF194" s="30" t="s">
        <v>1005</v>
      </c>
      <c r="AG194" s="30" t="n">
        <v>0</v>
      </c>
      <c r="AH194" s="30" t="s">
        <v>1006</v>
      </c>
      <c r="AI194" s="30" t="n">
        <v>0</v>
      </c>
      <c r="AJ194" s="30" t="s">
        <v>1006</v>
      </c>
      <c r="AK194" s="30" t="n">
        <v>0</v>
      </c>
      <c r="AL194" s="30" t="s">
        <v>1006</v>
      </c>
      <c r="AM194" s="30" t="n">
        <v>0</v>
      </c>
      <c r="AN194" s="30"/>
      <c r="AO194" s="30" t="n">
        <v>12.37</v>
      </c>
      <c r="AP194" s="30" t="s">
        <v>1005</v>
      </c>
      <c r="AQ194" s="30" t="n">
        <v>11.47</v>
      </c>
      <c r="AR194" s="30" t="s">
        <v>1005</v>
      </c>
      <c r="AS194" s="30" t="n">
        <v>17.08</v>
      </c>
      <c r="AT194" s="30" t="s">
        <v>1005</v>
      </c>
      <c r="AU194" s="30" t="n">
        <v>137.46</v>
      </c>
      <c r="AV194" s="30" t="n">
        <v>0.05922</v>
      </c>
      <c r="AW194" s="30" t="s">
        <v>1007</v>
      </c>
      <c r="AX194" s="30" t="s">
        <v>1008</v>
      </c>
      <c r="AY194" s="30" t="n">
        <v>0</v>
      </c>
      <c r="AZ194" s="30"/>
    </row>
    <row collapsed="false" customFormat="true" customHeight="true" hidden="false" ht="33" outlineLevel="0" r="195" s="73">
      <c r="A195" s="30" t="n">
        <v>208</v>
      </c>
      <c r="B195" s="30" t="s">
        <v>339</v>
      </c>
      <c r="C195" s="30" t="s">
        <v>1009</v>
      </c>
      <c r="D195" s="30" t="s">
        <v>999</v>
      </c>
      <c r="E195" s="30" t="s">
        <v>1000</v>
      </c>
      <c r="F195" s="30" t="s">
        <v>1001</v>
      </c>
      <c r="G195" s="30" t="s">
        <v>1002</v>
      </c>
      <c r="H195" s="30" t="s">
        <v>1003</v>
      </c>
      <c r="I195" s="30" t="n">
        <v>1</v>
      </c>
      <c r="J195" s="30"/>
      <c r="K195" s="30" t="n">
        <v>50</v>
      </c>
      <c r="L195" s="30" t="n">
        <v>5.5</v>
      </c>
      <c r="M195" s="30" t="s">
        <v>1004</v>
      </c>
      <c r="N195" s="30" t="s">
        <v>54</v>
      </c>
      <c r="O195" s="30"/>
      <c r="P195" s="30"/>
      <c r="Q195" s="30"/>
      <c r="R195" s="30"/>
      <c r="S195" s="30"/>
      <c r="T195" s="30"/>
      <c r="U195" s="30" t="n">
        <v>120.23</v>
      </c>
      <c r="V195" s="30" t="n">
        <v>130.35</v>
      </c>
      <c r="W195" s="30" t="n">
        <v>25.47</v>
      </c>
      <c r="X195" s="30" t="s">
        <v>1005</v>
      </c>
      <c r="Y195" s="30" t="n">
        <v>19.31</v>
      </c>
      <c r="Z195" s="30" t="s">
        <v>1005</v>
      </c>
      <c r="AA195" s="30" t="n">
        <v>26.09</v>
      </c>
      <c r="AB195" s="30" t="s">
        <v>1005</v>
      </c>
      <c r="AC195" s="30" t="n">
        <v>10.67</v>
      </c>
      <c r="AD195" s="30" t="s">
        <v>1005</v>
      </c>
      <c r="AE195" s="30" t="n">
        <v>4.66</v>
      </c>
      <c r="AF195" s="30" t="s">
        <v>1005</v>
      </c>
      <c r="AG195" s="30" t="n">
        <v>0</v>
      </c>
      <c r="AH195" s="30" t="s">
        <v>1006</v>
      </c>
      <c r="AI195" s="30" t="n">
        <v>0</v>
      </c>
      <c r="AJ195" s="30" t="s">
        <v>1006</v>
      </c>
      <c r="AK195" s="30" t="n">
        <v>0</v>
      </c>
      <c r="AL195" s="30" t="s">
        <v>1006</v>
      </c>
      <c r="AM195" s="30" t="n">
        <v>0</v>
      </c>
      <c r="AN195" s="30"/>
      <c r="AO195" s="30" t="n">
        <v>10.61</v>
      </c>
      <c r="AP195" s="30" t="s">
        <v>1005</v>
      </c>
      <c r="AQ195" s="30" t="n">
        <v>11.36</v>
      </c>
      <c r="AR195" s="30" t="s">
        <v>1005</v>
      </c>
      <c r="AS195" s="30" t="n">
        <v>16.54</v>
      </c>
      <c r="AT195" s="30" t="s">
        <v>1005</v>
      </c>
      <c r="AU195" s="30" t="n">
        <v>124.71</v>
      </c>
      <c r="AV195" s="30" t="n">
        <v>0.05621</v>
      </c>
      <c r="AW195" s="30" t="s">
        <v>1007</v>
      </c>
      <c r="AX195" s="30" t="s">
        <v>1008</v>
      </c>
      <c r="AY195" s="30" t="n">
        <v>0</v>
      </c>
      <c r="AZ195" s="30"/>
    </row>
    <row collapsed="false" customFormat="true" customHeight="true" hidden="false" ht="33" outlineLevel="0" r="196" s="73">
      <c r="A196" s="30" t="n">
        <v>209</v>
      </c>
      <c r="B196" s="30" t="s">
        <v>340</v>
      </c>
      <c r="C196" s="30" t="s">
        <v>1009</v>
      </c>
      <c r="D196" s="30" t="s">
        <v>999</v>
      </c>
      <c r="E196" s="30" t="s">
        <v>1000</v>
      </c>
      <c r="F196" s="30" t="s">
        <v>1001</v>
      </c>
      <c r="G196" s="30" t="s">
        <v>1002</v>
      </c>
      <c r="H196" s="30" t="s">
        <v>1003</v>
      </c>
      <c r="I196" s="30" t="n">
        <v>4</v>
      </c>
      <c r="J196" s="30"/>
      <c r="K196" s="30" t="n">
        <v>65</v>
      </c>
      <c r="L196" s="30" t="n">
        <v>5.5</v>
      </c>
      <c r="M196" s="30" t="s">
        <v>1004</v>
      </c>
      <c r="N196" s="30" t="s">
        <v>54</v>
      </c>
      <c r="O196" s="30"/>
      <c r="P196" s="30"/>
      <c r="Q196" s="30"/>
      <c r="R196" s="30"/>
      <c r="S196" s="30"/>
      <c r="T196" s="30"/>
      <c r="U196" s="30" t="n">
        <v>947.47</v>
      </c>
      <c r="V196" s="30" t="n">
        <v>1107.1</v>
      </c>
      <c r="W196" s="30" t="n">
        <v>98.46</v>
      </c>
      <c r="X196" s="30" t="s">
        <v>1005</v>
      </c>
      <c r="Y196" s="30" t="n">
        <v>117.84</v>
      </c>
      <c r="Z196" s="30" t="s">
        <v>1005</v>
      </c>
      <c r="AA196" s="30" t="n">
        <v>169.84</v>
      </c>
      <c r="AB196" s="30" t="s">
        <v>1005</v>
      </c>
      <c r="AC196" s="30" t="n">
        <v>56.23</v>
      </c>
      <c r="AD196" s="30" t="s">
        <v>1005</v>
      </c>
      <c r="AE196" s="30" t="n">
        <v>28.57</v>
      </c>
      <c r="AF196" s="30" t="s">
        <v>1005</v>
      </c>
      <c r="AG196" s="30" t="n">
        <v>0</v>
      </c>
      <c r="AH196" s="30" t="s">
        <v>1006</v>
      </c>
      <c r="AI196" s="30" t="n">
        <v>0</v>
      </c>
      <c r="AJ196" s="30" t="s">
        <v>1006</v>
      </c>
      <c r="AK196" s="30" t="n">
        <v>0</v>
      </c>
      <c r="AL196" s="30" t="s">
        <v>1006</v>
      </c>
      <c r="AM196" s="30" t="n">
        <v>0</v>
      </c>
      <c r="AN196" s="30"/>
      <c r="AO196" s="30" t="n">
        <v>70.18</v>
      </c>
      <c r="AP196" s="30" t="s">
        <v>1005</v>
      </c>
      <c r="AQ196" s="30" t="n">
        <v>68.79</v>
      </c>
      <c r="AR196" s="30" t="s">
        <v>1005</v>
      </c>
      <c r="AS196" s="30" t="n">
        <v>102.45</v>
      </c>
      <c r="AT196" s="30" t="s">
        <v>1005</v>
      </c>
      <c r="AU196" s="30" t="n">
        <v>712.36</v>
      </c>
      <c r="AV196" s="30" t="n">
        <v>0.47372</v>
      </c>
      <c r="AW196" s="30" t="s">
        <v>1007</v>
      </c>
      <c r="AX196" s="30" t="s">
        <v>1008</v>
      </c>
      <c r="AY196" s="30" t="n">
        <v>0</v>
      </c>
      <c r="AZ196" s="30"/>
    </row>
    <row collapsed="false" customFormat="true" customHeight="true" hidden="false" ht="33" outlineLevel="0" r="197" s="73">
      <c r="A197" s="30" t="n">
        <v>210</v>
      </c>
      <c r="B197" s="30" t="s">
        <v>341</v>
      </c>
      <c r="C197" s="30" t="s">
        <v>1009</v>
      </c>
      <c r="D197" s="30" t="s">
        <v>999</v>
      </c>
      <c r="E197" s="30" t="s">
        <v>1000</v>
      </c>
      <c r="F197" s="30" t="s">
        <v>1001</v>
      </c>
      <c r="G197" s="30" t="s">
        <v>1002</v>
      </c>
      <c r="H197" s="30" t="s">
        <v>1003</v>
      </c>
      <c r="I197" s="30" t="n">
        <v>1</v>
      </c>
      <c r="J197" s="30"/>
      <c r="K197" s="30" t="n">
        <v>50</v>
      </c>
      <c r="L197" s="30" t="n">
        <v>5.5</v>
      </c>
      <c r="M197" s="30" t="s">
        <v>1004</v>
      </c>
      <c r="N197" s="30" t="s">
        <v>54</v>
      </c>
      <c r="O197" s="30"/>
      <c r="P197" s="30"/>
      <c r="Q197" s="30"/>
      <c r="R197" s="30"/>
      <c r="S197" s="30"/>
      <c r="T197" s="30"/>
      <c r="U197" s="30" t="n">
        <v>195.59</v>
      </c>
      <c r="V197" s="30" t="n">
        <v>180.8</v>
      </c>
      <c r="W197" s="30" t="n">
        <v>39.67</v>
      </c>
      <c r="X197" s="30" t="s">
        <v>1005</v>
      </c>
      <c r="Y197" s="30" t="n">
        <v>29.25</v>
      </c>
      <c r="Z197" s="30" t="s">
        <v>1005</v>
      </c>
      <c r="AA197" s="30" t="n">
        <v>39.93</v>
      </c>
      <c r="AB197" s="30" t="s">
        <v>1005</v>
      </c>
      <c r="AC197" s="30" t="n">
        <v>13.5</v>
      </c>
      <c r="AD197" s="30" t="s">
        <v>1005</v>
      </c>
      <c r="AE197" s="30" t="n">
        <v>5.73</v>
      </c>
      <c r="AF197" s="30" t="s">
        <v>1005</v>
      </c>
      <c r="AG197" s="30" t="n">
        <v>0</v>
      </c>
      <c r="AH197" s="30" t="s">
        <v>1006</v>
      </c>
      <c r="AI197" s="30" t="n">
        <v>0</v>
      </c>
      <c r="AJ197" s="30" t="s">
        <v>1006</v>
      </c>
      <c r="AK197" s="30" t="n">
        <v>0</v>
      </c>
      <c r="AL197" s="30" t="s">
        <v>1006</v>
      </c>
      <c r="AM197" s="30" t="n">
        <v>0</v>
      </c>
      <c r="AN197" s="30"/>
      <c r="AO197" s="30" t="n">
        <v>14.41</v>
      </c>
      <c r="AP197" s="30" t="s">
        <v>1005</v>
      </c>
      <c r="AQ197" s="30" t="n">
        <v>16.23</v>
      </c>
      <c r="AR197" s="30" t="s">
        <v>1005</v>
      </c>
      <c r="AS197" s="30" t="n">
        <v>22.11</v>
      </c>
      <c r="AT197" s="30" t="s">
        <v>1005</v>
      </c>
      <c r="AU197" s="30" t="n">
        <v>180.83</v>
      </c>
      <c r="AV197" s="30" t="n">
        <v>0.09535</v>
      </c>
      <c r="AW197" s="30" t="s">
        <v>1007</v>
      </c>
      <c r="AX197" s="30" t="s">
        <v>1008</v>
      </c>
      <c r="AY197" s="30" t="n">
        <v>0</v>
      </c>
      <c r="AZ197" s="30"/>
    </row>
    <row collapsed="false" customFormat="true" customHeight="true" hidden="false" ht="33" outlineLevel="0" r="198" s="73">
      <c r="A198" s="30" t="n">
        <v>211</v>
      </c>
      <c r="B198" s="30" t="s">
        <v>343</v>
      </c>
      <c r="C198" s="30" t="s">
        <v>1009</v>
      </c>
      <c r="D198" s="30" t="s">
        <v>999</v>
      </c>
      <c r="E198" s="30" t="s">
        <v>1000</v>
      </c>
      <c r="F198" s="30" t="s">
        <v>1001</v>
      </c>
      <c r="G198" s="30" t="s">
        <v>1002</v>
      </c>
      <c r="H198" s="30" t="s">
        <v>1003</v>
      </c>
      <c r="I198" s="30" t="n">
        <v>1</v>
      </c>
      <c r="J198" s="30"/>
      <c r="K198" s="30" t="n">
        <v>50</v>
      </c>
      <c r="L198" s="30" t="n">
        <v>5.5</v>
      </c>
      <c r="M198" s="30" t="s">
        <v>1004</v>
      </c>
      <c r="N198" s="30" t="s">
        <v>54</v>
      </c>
      <c r="O198" s="30"/>
      <c r="P198" s="30"/>
      <c r="Q198" s="30"/>
      <c r="R198" s="30"/>
      <c r="S198" s="30"/>
      <c r="T198" s="30"/>
      <c r="U198" s="30" t="n">
        <v>207.53</v>
      </c>
      <c r="V198" s="30" t="n">
        <v>190.32</v>
      </c>
      <c r="W198" s="30" t="n">
        <v>21.24</v>
      </c>
      <c r="X198" s="30" t="s">
        <v>1006</v>
      </c>
      <c r="Y198" s="30" t="n">
        <v>21.24</v>
      </c>
      <c r="Z198" s="30" t="s">
        <v>1006</v>
      </c>
      <c r="AA198" s="30" t="n">
        <v>21.24</v>
      </c>
      <c r="AB198" s="30" t="s">
        <v>1006</v>
      </c>
      <c r="AC198" s="30" t="n">
        <v>21.24</v>
      </c>
      <c r="AD198" s="30" t="s">
        <v>1006</v>
      </c>
      <c r="AE198" s="30" t="n">
        <v>6.17</v>
      </c>
      <c r="AF198" s="30" t="s">
        <v>1006</v>
      </c>
      <c r="AG198" s="30" t="n">
        <v>0</v>
      </c>
      <c r="AH198" s="30" t="s">
        <v>1006</v>
      </c>
      <c r="AI198" s="30" t="n">
        <v>0</v>
      </c>
      <c r="AJ198" s="30" t="s">
        <v>1006</v>
      </c>
      <c r="AK198" s="30" t="n">
        <v>0</v>
      </c>
      <c r="AL198" s="30" t="s">
        <v>1006</v>
      </c>
      <c r="AM198" s="30" t="n">
        <v>0</v>
      </c>
      <c r="AN198" s="30"/>
      <c r="AO198" s="30" t="n">
        <v>22.01</v>
      </c>
      <c r="AP198" s="30" t="s">
        <v>1006</v>
      </c>
      <c r="AQ198" s="30" t="n">
        <v>22.01</v>
      </c>
      <c r="AR198" s="30" t="s">
        <v>1006</v>
      </c>
      <c r="AS198" s="30" t="n">
        <v>22.01</v>
      </c>
      <c r="AT198" s="30" t="s">
        <v>1006</v>
      </c>
      <c r="AU198" s="30" t="n">
        <v>157.16</v>
      </c>
      <c r="AV198" s="30" t="n">
        <v>0.09334</v>
      </c>
      <c r="AW198" s="30" t="s">
        <v>1007</v>
      </c>
      <c r="AX198" s="30" t="s">
        <v>1008</v>
      </c>
      <c r="AY198" s="30" t="n">
        <v>0</v>
      </c>
      <c r="AZ198" s="30"/>
    </row>
    <row collapsed="false" customFormat="true" customHeight="true" hidden="false" ht="33" outlineLevel="0" r="199" s="73">
      <c r="A199" s="30" t="n">
        <v>212</v>
      </c>
      <c r="B199" s="30" t="s">
        <v>344</v>
      </c>
      <c r="C199" s="30" t="s">
        <v>1009</v>
      </c>
      <c r="D199" s="30" t="s">
        <v>999</v>
      </c>
      <c r="E199" s="30" t="s">
        <v>1000</v>
      </c>
      <c r="F199" s="30" t="s">
        <v>1001</v>
      </c>
      <c r="G199" s="30" t="s">
        <v>1002</v>
      </c>
      <c r="H199" s="30" t="s">
        <v>1003</v>
      </c>
      <c r="I199" s="30" t="n">
        <v>1</v>
      </c>
      <c r="J199" s="30"/>
      <c r="K199" s="30" t="n">
        <v>65</v>
      </c>
      <c r="L199" s="30" t="n">
        <v>5.5</v>
      </c>
      <c r="M199" s="30" t="s">
        <v>1004</v>
      </c>
      <c r="N199" s="30" t="s">
        <v>54</v>
      </c>
      <c r="O199" s="30"/>
      <c r="P199" s="30"/>
      <c r="Q199" s="30"/>
      <c r="R199" s="30"/>
      <c r="S199" s="30"/>
      <c r="T199" s="30"/>
      <c r="U199" s="30" t="n">
        <v>317.97</v>
      </c>
      <c r="V199" s="30" t="n">
        <v>317.48</v>
      </c>
      <c r="W199" s="30" t="n">
        <v>64.88</v>
      </c>
      <c r="X199" s="30" t="s">
        <v>1005</v>
      </c>
      <c r="Y199" s="30" t="n">
        <v>53.08</v>
      </c>
      <c r="Z199" s="30" t="s">
        <v>1005</v>
      </c>
      <c r="AA199" s="30" t="n">
        <v>77.06</v>
      </c>
      <c r="AB199" s="30" t="s">
        <v>1005</v>
      </c>
      <c r="AC199" s="30" t="n">
        <v>25.51</v>
      </c>
      <c r="AD199" s="30" t="s">
        <v>1005</v>
      </c>
      <c r="AE199" s="30" t="n">
        <v>12.88</v>
      </c>
      <c r="AF199" s="30" t="s">
        <v>1005</v>
      </c>
      <c r="AG199" s="30" t="n">
        <v>0</v>
      </c>
      <c r="AH199" s="30" t="s">
        <v>1006</v>
      </c>
      <c r="AI199" s="30" t="n">
        <v>0</v>
      </c>
      <c r="AJ199" s="30" t="s">
        <v>1006</v>
      </c>
      <c r="AK199" s="30" t="n">
        <v>0</v>
      </c>
      <c r="AL199" s="30" t="s">
        <v>1006</v>
      </c>
      <c r="AM199" s="30" t="n">
        <v>0</v>
      </c>
      <c r="AN199" s="30"/>
      <c r="AO199" s="30" t="n">
        <v>46.61</v>
      </c>
      <c r="AP199" s="30" t="s">
        <v>1005</v>
      </c>
      <c r="AQ199" s="30" t="n">
        <v>46.61</v>
      </c>
      <c r="AR199" s="30" t="s">
        <v>1005</v>
      </c>
      <c r="AS199" s="30" t="n">
        <v>31.51</v>
      </c>
      <c r="AT199" s="30" t="s">
        <v>1005</v>
      </c>
      <c r="AU199" s="30" t="n">
        <v>358.14</v>
      </c>
      <c r="AV199" s="30" t="n">
        <v>0.15958</v>
      </c>
      <c r="AW199" s="30" t="s">
        <v>1007</v>
      </c>
      <c r="AX199" s="30" t="s">
        <v>1008</v>
      </c>
      <c r="AY199" s="30" t="n">
        <v>0</v>
      </c>
      <c r="AZ199" s="30"/>
    </row>
    <row collapsed="false" customFormat="true" customHeight="true" hidden="false" ht="33" outlineLevel="0" r="200" s="73">
      <c r="A200" s="30" t="n">
        <v>213</v>
      </c>
      <c r="B200" s="30" t="s">
        <v>345</v>
      </c>
      <c r="C200" s="30" t="s">
        <v>1009</v>
      </c>
      <c r="D200" s="30" t="s">
        <v>999</v>
      </c>
      <c r="E200" s="30" t="s">
        <v>1000</v>
      </c>
      <c r="F200" s="30" t="s">
        <v>1001</v>
      </c>
      <c r="G200" s="30" t="s">
        <v>1002</v>
      </c>
      <c r="H200" s="30" t="s">
        <v>1003</v>
      </c>
      <c r="I200" s="30" t="n">
        <v>1</v>
      </c>
      <c r="J200" s="30"/>
      <c r="K200" s="30" t="n">
        <v>50</v>
      </c>
      <c r="L200" s="30" t="n">
        <v>5.5</v>
      </c>
      <c r="M200" s="30" t="s">
        <v>1004</v>
      </c>
      <c r="N200" s="30" t="s">
        <v>54</v>
      </c>
      <c r="O200" s="30"/>
      <c r="P200" s="30"/>
      <c r="Q200" s="30"/>
      <c r="R200" s="30"/>
      <c r="S200" s="30"/>
      <c r="T200" s="30"/>
      <c r="U200" s="30" t="n">
        <v>197.86</v>
      </c>
      <c r="V200" s="30" t="n">
        <v>206.86</v>
      </c>
      <c r="W200" s="30" t="n">
        <v>21.09</v>
      </c>
      <c r="X200" s="30" t="s">
        <v>1005</v>
      </c>
      <c r="Y200" s="30" t="n">
        <v>21.09</v>
      </c>
      <c r="Z200" s="30" t="s">
        <v>1005</v>
      </c>
      <c r="AA200" s="30" t="n">
        <v>35.5</v>
      </c>
      <c r="AB200" s="30" t="s">
        <v>1005</v>
      </c>
      <c r="AC200" s="30" t="n">
        <v>18.09</v>
      </c>
      <c r="AD200" s="30" t="s">
        <v>1005</v>
      </c>
      <c r="AE200" s="30" t="n">
        <v>6.12</v>
      </c>
      <c r="AF200" s="30" t="s">
        <v>1005</v>
      </c>
      <c r="AG200" s="30" t="n">
        <v>0</v>
      </c>
      <c r="AH200" s="30" t="s">
        <v>1006</v>
      </c>
      <c r="AI200" s="30" t="n">
        <v>0</v>
      </c>
      <c r="AJ200" s="30" t="s">
        <v>1006</v>
      </c>
      <c r="AK200" s="30" t="n">
        <v>0</v>
      </c>
      <c r="AL200" s="30" t="s">
        <v>1006</v>
      </c>
      <c r="AM200" s="30" t="n">
        <v>0</v>
      </c>
      <c r="AN200" s="30"/>
      <c r="AO200" s="30" t="n">
        <v>19.37</v>
      </c>
      <c r="AP200" s="30" t="s">
        <v>1005</v>
      </c>
      <c r="AQ200" s="30" t="n">
        <v>17.67</v>
      </c>
      <c r="AR200" s="30" t="s">
        <v>1005</v>
      </c>
      <c r="AS200" s="30" t="n">
        <v>23.94</v>
      </c>
      <c r="AT200" s="30" t="s">
        <v>1005</v>
      </c>
      <c r="AU200" s="30" t="n">
        <v>162.87</v>
      </c>
      <c r="AV200" s="30" t="n">
        <v>0.09334</v>
      </c>
      <c r="AW200" s="30" t="s">
        <v>1007</v>
      </c>
      <c r="AX200" s="30" t="s">
        <v>1008</v>
      </c>
      <c r="AY200" s="30" t="n">
        <v>0</v>
      </c>
      <c r="AZ200" s="30"/>
    </row>
    <row collapsed="false" customFormat="true" customHeight="true" hidden="false" ht="33" outlineLevel="0" r="201" s="73">
      <c r="A201" s="30" t="n">
        <v>216</v>
      </c>
      <c r="B201" s="30" t="s">
        <v>348</v>
      </c>
      <c r="C201" s="30" t="s">
        <v>1009</v>
      </c>
      <c r="D201" s="30" t="s">
        <v>999</v>
      </c>
      <c r="E201" s="30" t="s">
        <v>1010</v>
      </c>
      <c r="F201" s="30" t="s">
        <v>1001</v>
      </c>
      <c r="G201" s="30" t="s">
        <v>1002</v>
      </c>
      <c r="H201" s="30" t="s">
        <v>1003</v>
      </c>
      <c r="I201" s="30" t="n">
        <v>1</v>
      </c>
      <c r="J201" s="30"/>
      <c r="K201" s="30" t="n">
        <v>65</v>
      </c>
      <c r="L201" s="30" t="n">
        <v>5.5</v>
      </c>
      <c r="M201" s="30" t="s">
        <v>1015</v>
      </c>
      <c r="N201" s="30" t="s">
        <v>53</v>
      </c>
      <c r="O201" s="30"/>
      <c r="P201" s="30"/>
      <c r="Q201" s="30"/>
      <c r="R201" s="30"/>
      <c r="S201" s="30"/>
      <c r="T201" s="30"/>
      <c r="U201" s="30" t="n">
        <v>556.03</v>
      </c>
      <c r="V201" s="30" t="n">
        <v>787.85</v>
      </c>
      <c r="W201" s="30" t="n">
        <v>70.08</v>
      </c>
      <c r="X201" s="30" t="s">
        <v>1006</v>
      </c>
      <c r="Y201" s="30" t="n">
        <v>70.08</v>
      </c>
      <c r="Z201" s="30" t="s">
        <v>1006</v>
      </c>
      <c r="AA201" s="30" t="n">
        <v>70.08</v>
      </c>
      <c r="AB201" s="30" t="s">
        <v>1006</v>
      </c>
      <c r="AC201" s="30" t="n">
        <v>70.08</v>
      </c>
      <c r="AD201" s="30" t="s">
        <v>1006</v>
      </c>
      <c r="AE201" s="30" t="n">
        <v>20.35</v>
      </c>
      <c r="AF201" s="30" t="s">
        <v>1006</v>
      </c>
      <c r="AG201" s="30" t="n">
        <v>0</v>
      </c>
      <c r="AH201" s="30" t="s">
        <v>1006</v>
      </c>
      <c r="AI201" s="30" t="n">
        <v>0</v>
      </c>
      <c r="AJ201" s="30" t="s">
        <v>1006</v>
      </c>
      <c r="AK201" s="30" t="n">
        <v>0</v>
      </c>
      <c r="AL201" s="30" t="s">
        <v>1006</v>
      </c>
      <c r="AM201" s="30" t="n">
        <v>16.95</v>
      </c>
      <c r="AN201" s="30" t="s">
        <v>1006</v>
      </c>
      <c r="AO201" s="30" t="n">
        <v>72.64</v>
      </c>
      <c r="AP201" s="30" t="s">
        <v>1006</v>
      </c>
      <c r="AQ201" s="30" t="n">
        <v>72.64</v>
      </c>
      <c r="AR201" s="30" t="s">
        <v>1006</v>
      </c>
      <c r="AS201" s="30" t="n">
        <v>72.64</v>
      </c>
      <c r="AT201" s="30" t="s">
        <v>1006</v>
      </c>
      <c r="AU201" s="30" t="n">
        <v>535.54</v>
      </c>
      <c r="AV201" s="30" t="n">
        <v>0.37205</v>
      </c>
      <c r="AW201" s="30" t="s">
        <v>1016</v>
      </c>
      <c r="AX201" s="30" t="s">
        <v>1008</v>
      </c>
      <c r="AY201" s="30" t="n">
        <v>1</v>
      </c>
      <c r="AZ201" s="30"/>
    </row>
    <row collapsed="false" customFormat="true" customHeight="true" hidden="false" ht="33" outlineLevel="0" r="202" s="73">
      <c r="A202" s="30" t="n">
        <v>217</v>
      </c>
      <c r="B202" s="30" t="s">
        <v>349</v>
      </c>
      <c r="C202" s="30" t="s">
        <v>1009</v>
      </c>
      <c r="D202" s="30" t="s">
        <v>999</v>
      </c>
      <c r="E202" s="30" t="s">
        <v>1010</v>
      </c>
      <c r="F202" s="30" t="s">
        <v>1001</v>
      </c>
      <c r="G202" s="30" t="s">
        <v>1002</v>
      </c>
      <c r="H202" s="30" t="s">
        <v>1003</v>
      </c>
      <c r="I202" s="30" t="n">
        <v>1</v>
      </c>
      <c r="J202" s="30"/>
      <c r="K202" s="30" t="n">
        <v>65</v>
      </c>
      <c r="L202" s="30" t="n">
        <v>5.5</v>
      </c>
      <c r="M202" s="30" t="s">
        <v>1015</v>
      </c>
      <c r="N202" s="30" t="s">
        <v>53</v>
      </c>
      <c r="O202" s="30"/>
      <c r="P202" s="30"/>
      <c r="Q202" s="30"/>
      <c r="R202" s="30"/>
      <c r="S202" s="30"/>
      <c r="T202" s="30"/>
      <c r="U202" s="30" t="n">
        <v>503.31</v>
      </c>
      <c r="V202" s="30" t="n">
        <v>638.67</v>
      </c>
      <c r="W202" s="30" t="n">
        <v>58.53</v>
      </c>
      <c r="X202" s="30" t="s">
        <v>1006</v>
      </c>
      <c r="Y202" s="30" t="n">
        <v>58.53</v>
      </c>
      <c r="Z202" s="30" t="s">
        <v>1006</v>
      </c>
      <c r="AA202" s="30" t="n">
        <v>58.53</v>
      </c>
      <c r="AB202" s="30" t="s">
        <v>1006</v>
      </c>
      <c r="AC202" s="30" t="n">
        <v>58.53</v>
      </c>
      <c r="AD202" s="30" t="s">
        <v>1006</v>
      </c>
      <c r="AE202" s="30" t="n">
        <v>16.99</v>
      </c>
      <c r="AF202" s="30" t="s">
        <v>1006</v>
      </c>
      <c r="AG202" s="30" t="n">
        <v>0</v>
      </c>
      <c r="AH202" s="30" t="s">
        <v>1006</v>
      </c>
      <c r="AI202" s="30" t="n">
        <v>0</v>
      </c>
      <c r="AJ202" s="30" t="s">
        <v>1006</v>
      </c>
      <c r="AK202" s="30" t="n">
        <v>0</v>
      </c>
      <c r="AL202" s="30" t="s">
        <v>1006</v>
      </c>
      <c r="AM202" s="30" t="n">
        <v>10.47</v>
      </c>
      <c r="AN202" s="30" t="s">
        <v>1006</v>
      </c>
      <c r="AO202" s="30" t="n">
        <v>62.84</v>
      </c>
      <c r="AP202" s="30" t="s">
        <v>1005</v>
      </c>
      <c r="AQ202" s="30" t="n">
        <v>62.84</v>
      </c>
      <c r="AR202" s="30" t="s">
        <v>1005</v>
      </c>
      <c r="AS202" s="30" t="n">
        <v>37.7</v>
      </c>
      <c r="AT202" s="30" t="s">
        <v>1005</v>
      </c>
      <c r="AU202" s="30" t="n">
        <v>424.96</v>
      </c>
      <c r="AV202" s="30" t="n">
        <v>0.33494</v>
      </c>
      <c r="AW202" s="30" t="s">
        <v>1016</v>
      </c>
      <c r="AX202" s="30" t="s">
        <v>1008</v>
      </c>
      <c r="AY202" s="30" t="n">
        <v>1</v>
      </c>
      <c r="AZ202" s="30"/>
    </row>
    <row collapsed="false" customFormat="true" customHeight="true" hidden="false" ht="33" outlineLevel="0" r="203" s="73">
      <c r="A203" s="30" t="n">
        <v>218</v>
      </c>
      <c r="B203" s="30" t="s">
        <v>350</v>
      </c>
      <c r="C203" s="30" t="s">
        <v>1009</v>
      </c>
      <c r="D203" s="30" t="s">
        <v>999</v>
      </c>
      <c r="E203" s="30" t="s">
        <v>1010</v>
      </c>
      <c r="F203" s="30" t="s">
        <v>1001</v>
      </c>
      <c r="G203" s="30" t="s">
        <v>1002</v>
      </c>
      <c r="H203" s="30" t="s">
        <v>1003</v>
      </c>
      <c r="I203" s="30" t="n">
        <v>1</v>
      </c>
      <c r="J203" s="30"/>
      <c r="K203" s="30" t="n">
        <v>65</v>
      </c>
      <c r="L203" s="30" t="n">
        <v>5.5</v>
      </c>
      <c r="M203" s="30" t="s">
        <v>1015</v>
      </c>
      <c r="N203" s="30" t="s">
        <v>53</v>
      </c>
      <c r="O203" s="30"/>
      <c r="P203" s="30"/>
      <c r="Q203" s="30"/>
      <c r="R203" s="30"/>
      <c r="S203" s="30"/>
      <c r="T203" s="30"/>
      <c r="U203" s="30" t="n">
        <v>570.36</v>
      </c>
      <c r="V203" s="30" t="n">
        <v>733.72</v>
      </c>
      <c r="W203" s="30" t="n">
        <v>69.67</v>
      </c>
      <c r="X203" s="30" t="s">
        <v>1006</v>
      </c>
      <c r="Y203" s="30" t="n">
        <v>69.67</v>
      </c>
      <c r="Z203" s="30" t="s">
        <v>1006</v>
      </c>
      <c r="AA203" s="30" t="n">
        <v>69.67</v>
      </c>
      <c r="AB203" s="30" t="s">
        <v>1006</v>
      </c>
      <c r="AC203" s="30" t="n">
        <v>69.67</v>
      </c>
      <c r="AD203" s="30" t="s">
        <v>1006</v>
      </c>
      <c r="AE203" s="30" t="n">
        <v>20.23</v>
      </c>
      <c r="AF203" s="30" t="s">
        <v>1006</v>
      </c>
      <c r="AG203" s="30" t="n">
        <v>0</v>
      </c>
      <c r="AH203" s="30" t="s">
        <v>1006</v>
      </c>
      <c r="AI203" s="30" t="n">
        <v>0</v>
      </c>
      <c r="AJ203" s="30" t="s">
        <v>1006</v>
      </c>
      <c r="AK203" s="30" t="n">
        <v>0</v>
      </c>
      <c r="AL203" s="30" t="s">
        <v>1006</v>
      </c>
      <c r="AM203" s="30" t="n">
        <v>16.85</v>
      </c>
      <c r="AN203" s="30" t="s">
        <v>1006</v>
      </c>
      <c r="AO203" s="30" t="n">
        <v>72.22</v>
      </c>
      <c r="AP203" s="30" t="s">
        <v>1005</v>
      </c>
      <c r="AQ203" s="30" t="n">
        <v>29.92</v>
      </c>
      <c r="AR203" s="30" t="s">
        <v>1005</v>
      </c>
      <c r="AS203" s="30" t="n">
        <v>54.86</v>
      </c>
      <c r="AT203" s="30" t="s">
        <v>1005</v>
      </c>
      <c r="AU203" s="30" t="n">
        <v>472.76</v>
      </c>
      <c r="AV203" s="30" t="n">
        <v>0.37406</v>
      </c>
      <c r="AW203" s="30" t="s">
        <v>1016</v>
      </c>
      <c r="AX203" s="30" t="s">
        <v>1008</v>
      </c>
      <c r="AY203" s="30" t="n">
        <v>1</v>
      </c>
      <c r="AZ203" s="30"/>
    </row>
    <row collapsed="false" customFormat="true" customHeight="true" hidden="false" ht="33" outlineLevel="0" r="204" s="73">
      <c r="A204" s="30" t="n">
        <v>219</v>
      </c>
      <c r="B204" s="30" t="s">
        <v>351</v>
      </c>
      <c r="C204" s="30" t="s">
        <v>1009</v>
      </c>
      <c r="D204" s="30" t="s">
        <v>999</v>
      </c>
      <c r="E204" s="30" t="s">
        <v>1010</v>
      </c>
      <c r="F204" s="30" t="s">
        <v>1001</v>
      </c>
      <c r="G204" s="30" t="s">
        <v>1002</v>
      </c>
      <c r="H204" s="30" t="s">
        <v>1003</v>
      </c>
      <c r="I204" s="30" t="n">
        <v>1</v>
      </c>
      <c r="J204" s="30"/>
      <c r="K204" s="30" t="n">
        <v>65</v>
      </c>
      <c r="L204" s="30" t="n">
        <v>5.5</v>
      </c>
      <c r="M204" s="30" t="s">
        <v>1015</v>
      </c>
      <c r="N204" s="30" t="s">
        <v>53</v>
      </c>
      <c r="O204" s="30"/>
      <c r="P204" s="30"/>
      <c r="Q204" s="30"/>
      <c r="R204" s="30"/>
      <c r="S204" s="30"/>
      <c r="T204" s="30"/>
      <c r="U204" s="30" t="n">
        <v>570.36</v>
      </c>
      <c r="V204" s="30" t="n">
        <v>737.92</v>
      </c>
      <c r="W204" s="30" t="n">
        <v>69.48</v>
      </c>
      <c r="X204" s="30" t="s">
        <v>1006</v>
      </c>
      <c r="Y204" s="30" t="n">
        <v>69.48</v>
      </c>
      <c r="Z204" s="30" t="s">
        <v>1006</v>
      </c>
      <c r="AA204" s="30" t="n">
        <v>69.48</v>
      </c>
      <c r="AB204" s="30" t="s">
        <v>1006</v>
      </c>
      <c r="AC204" s="30" t="n">
        <v>69.48</v>
      </c>
      <c r="AD204" s="30" t="s">
        <v>1006</v>
      </c>
      <c r="AE204" s="30" t="n">
        <v>20.17</v>
      </c>
      <c r="AF204" s="30" t="s">
        <v>1006</v>
      </c>
      <c r="AG204" s="30" t="n">
        <v>0</v>
      </c>
      <c r="AH204" s="30" t="s">
        <v>1006</v>
      </c>
      <c r="AI204" s="30" t="n">
        <v>0</v>
      </c>
      <c r="AJ204" s="30" t="s">
        <v>1006</v>
      </c>
      <c r="AK204" s="30" t="n">
        <v>0</v>
      </c>
      <c r="AL204" s="30" t="s">
        <v>1006</v>
      </c>
      <c r="AM204" s="30" t="n">
        <v>16.8</v>
      </c>
      <c r="AN204" s="30" t="s">
        <v>1006</v>
      </c>
      <c r="AO204" s="30" t="n">
        <v>72.02</v>
      </c>
      <c r="AP204" s="30" t="s">
        <v>1005</v>
      </c>
      <c r="AQ204" s="30" t="n">
        <v>33.38</v>
      </c>
      <c r="AR204" s="30" t="s">
        <v>1005</v>
      </c>
      <c r="AS204" s="30" t="n">
        <v>61.85</v>
      </c>
      <c r="AT204" s="30" t="s">
        <v>1005</v>
      </c>
      <c r="AU204" s="30" t="n">
        <v>482.14</v>
      </c>
      <c r="AV204" s="30" t="n">
        <v>0.37406</v>
      </c>
      <c r="AW204" s="30" t="s">
        <v>1016</v>
      </c>
      <c r="AX204" s="30" t="s">
        <v>1008</v>
      </c>
      <c r="AY204" s="30" t="n">
        <v>1</v>
      </c>
      <c r="AZ204" s="30"/>
    </row>
    <row collapsed="false" customFormat="true" customHeight="true" hidden="false" ht="33" outlineLevel="0" r="205" s="73">
      <c r="A205" s="30" t="n">
        <v>220</v>
      </c>
      <c r="B205" s="30" t="s">
        <v>352</v>
      </c>
      <c r="C205" s="30" t="s">
        <v>1009</v>
      </c>
      <c r="D205" s="30" t="s">
        <v>999</v>
      </c>
      <c r="E205" s="30" t="s">
        <v>1010</v>
      </c>
      <c r="F205" s="30" t="s">
        <v>1001</v>
      </c>
      <c r="G205" s="30" t="s">
        <v>1002</v>
      </c>
      <c r="H205" s="30" t="s">
        <v>1003</v>
      </c>
      <c r="I205" s="30" t="n">
        <v>1</v>
      </c>
      <c r="J205" s="30"/>
      <c r="K205" s="30" t="n">
        <v>65</v>
      </c>
      <c r="L205" s="30" t="n">
        <v>5.5</v>
      </c>
      <c r="M205" s="30" t="s">
        <v>1015</v>
      </c>
      <c r="N205" s="30" t="s">
        <v>53</v>
      </c>
      <c r="O205" s="30"/>
      <c r="P205" s="30"/>
      <c r="Q205" s="30"/>
      <c r="R205" s="30"/>
      <c r="S205" s="30"/>
      <c r="T205" s="30"/>
      <c r="U205" s="30" t="n">
        <v>562.5</v>
      </c>
      <c r="V205" s="30" t="n">
        <v>777.38</v>
      </c>
      <c r="W205" s="30" t="n">
        <v>77.93</v>
      </c>
      <c r="X205" s="30" t="s">
        <v>1006</v>
      </c>
      <c r="Y205" s="30" t="n">
        <v>77.93</v>
      </c>
      <c r="Z205" s="30" t="s">
        <v>1006</v>
      </c>
      <c r="AA205" s="30" t="n">
        <v>77.93</v>
      </c>
      <c r="AB205" s="30" t="s">
        <v>1006</v>
      </c>
      <c r="AC205" s="30" t="n">
        <v>77.93</v>
      </c>
      <c r="AD205" s="30" t="s">
        <v>1006</v>
      </c>
      <c r="AE205" s="30" t="n">
        <v>22.62</v>
      </c>
      <c r="AF205" s="30" t="s">
        <v>1006</v>
      </c>
      <c r="AG205" s="30" t="n">
        <v>0</v>
      </c>
      <c r="AH205" s="30" t="s">
        <v>1006</v>
      </c>
      <c r="AI205" s="30" t="n">
        <v>0</v>
      </c>
      <c r="AJ205" s="30" t="s">
        <v>1006</v>
      </c>
      <c r="AK205" s="30" t="n">
        <v>0</v>
      </c>
      <c r="AL205" s="30" t="s">
        <v>1006</v>
      </c>
      <c r="AM205" s="30" t="n">
        <v>16.38</v>
      </c>
      <c r="AN205" s="30" t="s">
        <v>1006</v>
      </c>
      <c r="AO205" s="30" t="n">
        <v>81.88</v>
      </c>
      <c r="AP205" s="30" t="s">
        <v>1005</v>
      </c>
      <c r="AQ205" s="30" t="n">
        <v>32.46</v>
      </c>
      <c r="AR205" s="30" t="s">
        <v>1005</v>
      </c>
      <c r="AS205" s="30" t="n">
        <v>57.26</v>
      </c>
      <c r="AT205" s="30" t="s">
        <v>1005</v>
      </c>
      <c r="AU205" s="30" t="n">
        <v>522.32</v>
      </c>
      <c r="AV205" s="30" t="n">
        <v>0.39006</v>
      </c>
      <c r="AW205" s="30" t="s">
        <v>1016</v>
      </c>
      <c r="AX205" s="30" t="s">
        <v>1008</v>
      </c>
      <c r="AY205" s="30" t="n">
        <v>1</v>
      </c>
      <c r="AZ205" s="30"/>
    </row>
    <row collapsed="false" customFormat="true" customHeight="true" hidden="false" ht="33" outlineLevel="0" r="206" s="73">
      <c r="A206" s="30" t="n">
        <v>221</v>
      </c>
      <c r="B206" s="30" t="s">
        <v>353</v>
      </c>
      <c r="C206" s="30" t="s">
        <v>1009</v>
      </c>
      <c r="D206" s="30" t="s">
        <v>999</v>
      </c>
      <c r="E206" s="30" t="s">
        <v>1010</v>
      </c>
      <c r="F206" s="30" t="s">
        <v>1001</v>
      </c>
      <c r="G206" s="30" t="s">
        <v>1002</v>
      </c>
      <c r="H206" s="30" t="s">
        <v>1003</v>
      </c>
      <c r="I206" s="30" t="n">
        <v>1</v>
      </c>
      <c r="J206" s="30"/>
      <c r="K206" s="30" t="n">
        <v>65</v>
      </c>
      <c r="L206" s="30" t="n">
        <v>5.5</v>
      </c>
      <c r="M206" s="30" t="s">
        <v>1015</v>
      </c>
      <c r="N206" s="30" t="s">
        <v>53</v>
      </c>
      <c r="O206" s="30"/>
      <c r="P206" s="30"/>
      <c r="Q206" s="30"/>
      <c r="R206" s="30"/>
      <c r="S206" s="30"/>
      <c r="T206" s="30"/>
      <c r="U206" s="30" t="n">
        <v>570.32</v>
      </c>
      <c r="V206" s="30" t="n">
        <v>772.18</v>
      </c>
      <c r="W206" s="30" t="n">
        <v>72.67</v>
      </c>
      <c r="X206" s="30" t="s">
        <v>1006</v>
      </c>
      <c r="Y206" s="30" t="n">
        <v>72.67</v>
      </c>
      <c r="Z206" s="30" t="s">
        <v>1006</v>
      </c>
      <c r="AA206" s="30" t="n">
        <v>72.67</v>
      </c>
      <c r="AB206" s="30" t="s">
        <v>1006</v>
      </c>
      <c r="AC206" s="30" t="n">
        <v>72.67</v>
      </c>
      <c r="AD206" s="30" t="s">
        <v>1006</v>
      </c>
      <c r="AE206" s="30" t="n">
        <v>21.1</v>
      </c>
      <c r="AF206" s="30" t="s">
        <v>1006</v>
      </c>
      <c r="AG206" s="30" t="n">
        <v>0</v>
      </c>
      <c r="AH206" s="30" t="s">
        <v>1006</v>
      </c>
      <c r="AI206" s="30" t="n">
        <v>0</v>
      </c>
      <c r="AJ206" s="30" t="s">
        <v>1006</v>
      </c>
      <c r="AK206" s="30" t="n">
        <v>0</v>
      </c>
      <c r="AL206" s="30" t="s">
        <v>1006</v>
      </c>
      <c r="AM206" s="30" t="n">
        <v>15.6</v>
      </c>
      <c r="AN206" s="30" t="s">
        <v>1006</v>
      </c>
      <c r="AO206" s="30" t="n">
        <v>25.54</v>
      </c>
      <c r="AP206" s="30" t="s">
        <v>1005</v>
      </c>
      <c r="AQ206" s="30" t="n">
        <v>40.9</v>
      </c>
      <c r="AR206" s="30" t="s">
        <v>1005</v>
      </c>
      <c r="AS206" s="30" t="n">
        <v>50.62</v>
      </c>
      <c r="AT206" s="30" t="s">
        <v>1005</v>
      </c>
      <c r="AU206" s="30" t="n">
        <v>444.44</v>
      </c>
      <c r="AV206" s="30" t="n">
        <v>0.38707</v>
      </c>
      <c r="AW206" s="30" t="s">
        <v>1016</v>
      </c>
      <c r="AX206" s="30" t="s">
        <v>1008</v>
      </c>
      <c r="AY206" s="30" t="n">
        <v>1</v>
      </c>
      <c r="AZ206" s="30"/>
    </row>
    <row collapsed="false" customFormat="true" customHeight="true" hidden="false" ht="33" outlineLevel="0" r="207" s="73">
      <c r="A207" s="30" t="n">
        <v>222</v>
      </c>
      <c r="B207" s="30" t="s">
        <v>355</v>
      </c>
      <c r="C207" s="30" t="s">
        <v>1009</v>
      </c>
      <c r="D207" s="30" t="s">
        <v>999</v>
      </c>
      <c r="E207" s="30" t="s">
        <v>1010</v>
      </c>
      <c r="F207" s="30" t="s">
        <v>1001</v>
      </c>
      <c r="G207" s="30" t="s">
        <v>1002</v>
      </c>
      <c r="H207" s="30" t="s">
        <v>1003</v>
      </c>
      <c r="I207" s="30" t="n">
        <v>1</v>
      </c>
      <c r="J207" s="30"/>
      <c r="K207" s="30" t="n">
        <v>65</v>
      </c>
      <c r="L207" s="30" t="n">
        <v>5.5</v>
      </c>
      <c r="M207" s="30" t="s">
        <v>1015</v>
      </c>
      <c r="N207" s="30" t="s">
        <v>54</v>
      </c>
      <c r="O207" s="30"/>
      <c r="P207" s="30"/>
      <c r="Q207" s="30"/>
      <c r="R207" s="30"/>
      <c r="S207" s="30"/>
      <c r="T207" s="30"/>
      <c r="U207" s="30" t="n">
        <v>560.24</v>
      </c>
      <c r="V207" s="30" t="n">
        <v>745.8</v>
      </c>
      <c r="W207" s="30" t="n">
        <v>69.03</v>
      </c>
      <c r="X207" s="30" t="s">
        <v>1006</v>
      </c>
      <c r="Y207" s="30" t="n">
        <v>69.03</v>
      </c>
      <c r="Z207" s="30" t="s">
        <v>1006</v>
      </c>
      <c r="AA207" s="30" t="n">
        <v>69.03</v>
      </c>
      <c r="AB207" s="30" t="s">
        <v>1006</v>
      </c>
      <c r="AC207" s="30" t="n">
        <v>69.03</v>
      </c>
      <c r="AD207" s="30" t="s">
        <v>1006</v>
      </c>
      <c r="AE207" s="30" t="n">
        <v>20.04</v>
      </c>
      <c r="AF207" s="30" t="s">
        <v>1006</v>
      </c>
      <c r="AG207" s="30" t="n">
        <v>0</v>
      </c>
      <c r="AH207" s="30" t="s">
        <v>1006</v>
      </c>
      <c r="AI207" s="30" t="n">
        <v>0</v>
      </c>
      <c r="AJ207" s="30" t="s">
        <v>1006</v>
      </c>
      <c r="AK207" s="30" t="n">
        <v>0</v>
      </c>
      <c r="AL207" s="30" t="s">
        <v>1006</v>
      </c>
      <c r="AM207" s="30" t="n">
        <v>17.59</v>
      </c>
      <c r="AN207" s="30" t="s">
        <v>1006</v>
      </c>
      <c r="AO207" s="30" t="n">
        <v>75.38</v>
      </c>
      <c r="AP207" s="30" t="s">
        <v>1006</v>
      </c>
      <c r="AQ207" s="30" t="n">
        <v>75.38</v>
      </c>
      <c r="AR207" s="30" t="s">
        <v>1006</v>
      </c>
      <c r="AS207" s="30" t="n">
        <v>75.38</v>
      </c>
      <c r="AT207" s="30" t="s">
        <v>1006</v>
      </c>
      <c r="AU207" s="30" t="n">
        <v>539.89</v>
      </c>
      <c r="AV207" s="30" t="n">
        <v>0.31203</v>
      </c>
      <c r="AW207" s="30" t="s">
        <v>1016</v>
      </c>
      <c r="AX207" s="30" t="s">
        <v>1008</v>
      </c>
      <c r="AY207" s="30" t="n">
        <v>1</v>
      </c>
      <c r="AZ207" s="30"/>
    </row>
    <row collapsed="false" customFormat="true" customHeight="true" hidden="false" ht="33" outlineLevel="0" r="208" s="73">
      <c r="A208" s="30" t="n">
        <v>223</v>
      </c>
      <c r="B208" s="30" t="s">
        <v>356</v>
      </c>
      <c r="C208" s="30" t="s">
        <v>1009</v>
      </c>
      <c r="D208" s="30" t="s">
        <v>999</v>
      </c>
      <c r="E208" s="30" t="s">
        <v>1010</v>
      </c>
      <c r="F208" s="30" t="s">
        <v>1001</v>
      </c>
      <c r="G208" s="30" t="s">
        <v>1002</v>
      </c>
      <c r="H208" s="30" t="s">
        <v>1003</v>
      </c>
      <c r="I208" s="30" t="n">
        <v>1</v>
      </c>
      <c r="J208" s="30"/>
      <c r="K208" s="30" t="n">
        <v>65</v>
      </c>
      <c r="L208" s="30" t="n">
        <v>5.5</v>
      </c>
      <c r="M208" s="30" t="s">
        <v>1015</v>
      </c>
      <c r="N208" s="30" t="s">
        <v>54</v>
      </c>
      <c r="O208" s="30"/>
      <c r="P208" s="30"/>
      <c r="Q208" s="30"/>
      <c r="R208" s="30"/>
      <c r="S208" s="30"/>
      <c r="T208" s="30"/>
      <c r="U208" s="30" t="n">
        <v>434.69</v>
      </c>
      <c r="V208" s="30" t="n">
        <v>589.55</v>
      </c>
      <c r="W208" s="30" t="n">
        <v>55.54</v>
      </c>
      <c r="X208" s="30" t="s">
        <v>1006</v>
      </c>
      <c r="Y208" s="30" t="n">
        <v>55.54</v>
      </c>
      <c r="Z208" s="30" t="s">
        <v>1006</v>
      </c>
      <c r="AA208" s="30" t="n">
        <v>55.54</v>
      </c>
      <c r="AB208" s="30" t="s">
        <v>1006</v>
      </c>
      <c r="AC208" s="30" t="n">
        <v>55.54</v>
      </c>
      <c r="AD208" s="30" t="s">
        <v>1006</v>
      </c>
      <c r="AE208" s="30" t="n">
        <v>16.12</v>
      </c>
      <c r="AF208" s="30" t="s">
        <v>1006</v>
      </c>
      <c r="AG208" s="30" t="n">
        <v>0</v>
      </c>
      <c r="AH208" s="30" t="s">
        <v>1006</v>
      </c>
      <c r="AI208" s="30" t="n">
        <v>0</v>
      </c>
      <c r="AJ208" s="30" t="s">
        <v>1006</v>
      </c>
      <c r="AK208" s="30" t="n">
        <v>0</v>
      </c>
      <c r="AL208" s="30" t="s">
        <v>1006</v>
      </c>
      <c r="AM208" s="30" t="n">
        <v>11.67</v>
      </c>
      <c r="AN208" s="30" t="s">
        <v>1006</v>
      </c>
      <c r="AO208" s="30" t="n">
        <v>58.36</v>
      </c>
      <c r="AP208" s="30" t="s">
        <v>1006</v>
      </c>
      <c r="AQ208" s="30" t="n">
        <v>58.36</v>
      </c>
      <c r="AR208" s="30" t="s">
        <v>1006</v>
      </c>
      <c r="AS208" s="30" t="n">
        <v>58.36</v>
      </c>
      <c r="AT208" s="30" t="s">
        <v>1006</v>
      </c>
      <c r="AU208" s="30" t="n">
        <v>425.03</v>
      </c>
      <c r="AV208" s="30" t="n">
        <v>0.23277</v>
      </c>
      <c r="AW208" s="30" t="s">
        <v>1016</v>
      </c>
      <c r="AX208" s="30" t="s">
        <v>1008</v>
      </c>
      <c r="AY208" s="30" t="n">
        <v>1</v>
      </c>
      <c r="AZ208" s="30"/>
    </row>
    <row collapsed="false" customFormat="true" customHeight="true" hidden="false" ht="33" outlineLevel="0" r="209" s="73">
      <c r="A209" s="30" t="n">
        <v>224</v>
      </c>
      <c r="B209" s="30" t="s">
        <v>357</v>
      </c>
      <c r="C209" s="30" t="s">
        <v>1009</v>
      </c>
      <c r="D209" s="30" t="s">
        <v>999</v>
      </c>
      <c r="E209" s="30" t="s">
        <v>1010</v>
      </c>
      <c r="F209" s="30" t="s">
        <v>1001</v>
      </c>
      <c r="G209" s="30" t="s">
        <v>1002</v>
      </c>
      <c r="H209" s="30" t="s">
        <v>1003</v>
      </c>
      <c r="I209" s="30" t="n">
        <v>1</v>
      </c>
      <c r="J209" s="30"/>
      <c r="K209" s="30" t="n">
        <v>65</v>
      </c>
      <c r="L209" s="30" t="n">
        <v>5.5</v>
      </c>
      <c r="M209" s="30" t="s">
        <v>1015</v>
      </c>
      <c r="N209" s="30" t="s">
        <v>54</v>
      </c>
      <c r="O209" s="30"/>
      <c r="P209" s="30"/>
      <c r="Q209" s="30"/>
      <c r="R209" s="30"/>
      <c r="S209" s="30"/>
      <c r="T209" s="30"/>
      <c r="U209" s="30" t="n">
        <v>452.68</v>
      </c>
      <c r="V209" s="30" t="n">
        <v>599.89</v>
      </c>
      <c r="W209" s="30" t="n">
        <v>56.17</v>
      </c>
      <c r="X209" s="30" t="s">
        <v>1006</v>
      </c>
      <c r="Y209" s="30" t="n">
        <v>56.17</v>
      </c>
      <c r="Z209" s="30" t="s">
        <v>1006</v>
      </c>
      <c r="AA209" s="30" t="n">
        <v>56.17</v>
      </c>
      <c r="AB209" s="30" t="s">
        <v>1006</v>
      </c>
      <c r="AC209" s="30" t="n">
        <v>56.17</v>
      </c>
      <c r="AD209" s="30" t="s">
        <v>1006</v>
      </c>
      <c r="AE209" s="30" t="n">
        <v>16.31</v>
      </c>
      <c r="AF209" s="30" t="s">
        <v>1006</v>
      </c>
      <c r="AG209" s="30" t="n">
        <v>0</v>
      </c>
      <c r="AH209" s="30" t="s">
        <v>1006</v>
      </c>
      <c r="AI209" s="30" t="n">
        <v>0</v>
      </c>
      <c r="AJ209" s="30" t="s">
        <v>1006</v>
      </c>
      <c r="AK209" s="30" t="n">
        <v>0</v>
      </c>
      <c r="AL209" s="30" t="s">
        <v>1006</v>
      </c>
      <c r="AM209" s="30" t="n">
        <v>11.8</v>
      </c>
      <c r="AN209" s="30" t="s">
        <v>1006</v>
      </c>
      <c r="AO209" s="30" t="n">
        <v>59.02</v>
      </c>
      <c r="AP209" s="30" t="s">
        <v>1005</v>
      </c>
      <c r="AQ209" s="30" t="n">
        <v>37.76</v>
      </c>
      <c r="AR209" s="30" t="s">
        <v>1005</v>
      </c>
      <c r="AS209" s="30" t="n">
        <v>65.56</v>
      </c>
      <c r="AT209" s="30" t="s">
        <v>1005</v>
      </c>
      <c r="AU209" s="30" t="n">
        <v>415.13</v>
      </c>
      <c r="AV209" s="30" t="n">
        <v>0.2418</v>
      </c>
      <c r="AW209" s="30" t="s">
        <v>1016</v>
      </c>
      <c r="AX209" s="30" t="s">
        <v>1008</v>
      </c>
      <c r="AY209" s="30" t="n">
        <v>1</v>
      </c>
      <c r="AZ209" s="30"/>
    </row>
    <row collapsed="false" customFormat="true" customHeight="true" hidden="false" ht="33" outlineLevel="0" r="210" s="73">
      <c r="A210" s="30" t="n">
        <v>225</v>
      </c>
      <c r="B210" s="30" t="s">
        <v>358</v>
      </c>
      <c r="C210" s="30" t="s">
        <v>1009</v>
      </c>
      <c r="D210" s="30" t="s">
        <v>999</v>
      </c>
      <c r="E210" s="30" t="s">
        <v>1010</v>
      </c>
      <c r="F210" s="30" t="s">
        <v>1001</v>
      </c>
      <c r="G210" s="30" t="s">
        <v>1002</v>
      </c>
      <c r="H210" s="30" t="s">
        <v>1003</v>
      </c>
      <c r="I210" s="30" t="n">
        <v>1</v>
      </c>
      <c r="J210" s="30"/>
      <c r="K210" s="30" t="n">
        <v>65</v>
      </c>
      <c r="L210" s="30" t="n">
        <v>5.5</v>
      </c>
      <c r="M210" s="30" t="s">
        <v>1015</v>
      </c>
      <c r="N210" s="30" t="s">
        <v>54</v>
      </c>
      <c r="O210" s="30"/>
      <c r="P210" s="30"/>
      <c r="Q210" s="30"/>
      <c r="R210" s="30"/>
      <c r="S210" s="30"/>
      <c r="T210" s="30"/>
      <c r="U210" s="30" t="n">
        <v>580.37</v>
      </c>
      <c r="V210" s="30" t="n">
        <v>754.82</v>
      </c>
      <c r="W210" s="30" t="n">
        <v>68.67</v>
      </c>
      <c r="X210" s="30" t="s">
        <v>1006</v>
      </c>
      <c r="Y210" s="30" t="n">
        <v>68.67</v>
      </c>
      <c r="Z210" s="30" t="s">
        <v>1006</v>
      </c>
      <c r="AA210" s="30" t="n">
        <v>68.67</v>
      </c>
      <c r="AB210" s="30" t="s">
        <v>1006</v>
      </c>
      <c r="AC210" s="30" t="n">
        <v>68.67</v>
      </c>
      <c r="AD210" s="30" t="s">
        <v>1006</v>
      </c>
      <c r="AE210" s="30" t="n">
        <v>19.94</v>
      </c>
      <c r="AF210" s="30" t="s">
        <v>1006</v>
      </c>
      <c r="AG210" s="30" t="n">
        <v>0</v>
      </c>
      <c r="AH210" s="30" t="s">
        <v>1006</v>
      </c>
      <c r="AI210" s="30" t="n">
        <v>0</v>
      </c>
      <c r="AJ210" s="30" t="s">
        <v>1006</v>
      </c>
      <c r="AK210" s="30" t="n">
        <v>0</v>
      </c>
      <c r="AL210" s="30" t="s">
        <v>1006</v>
      </c>
      <c r="AM210" s="30" t="n">
        <v>17.5</v>
      </c>
      <c r="AN210" s="30" t="s">
        <v>1006</v>
      </c>
      <c r="AO210" s="30" t="n">
        <v>75</v>
      </c>
      <c r="AP210" s="30" t="s">
        <v>1006</v>
      </c>
      <c r="AQ210" s="30" t="n">
        <v>75</v>
      </c>
      <c r="AR210" s="30" t="s">
        <v>1006</v>
      </c>
      <c r="AS210" s="30" t="n">
        <v>75</v>
      </c>
      <c r="AT210" s="30" t="s">
        <v>1006</v>
      </c>
      <c r="AU210" s="30" t="n">
        <v>537.12</v>
      </c>
      <c r="AV210" s="30" t="n">
        <v>0.31002</v>
      </c>
      <c r="AW210" s="30" t="s">
        <v>1016</v>
      </c>
      <c r="AX210" s="30" t="s">
        <v>1008</v>
      </c>
      <c r="AY210" s="30" t="n">
        <v>1</v>
      </c>
      <c r="AZ210" s="30"/>
    </row>
    <row collapsed="false" customFormat="true" customHeight="true" hidden="false" ht="33" outlineLevel="0" r="211" s="73">
      <c r="A211" s="30" t="n">
        <v>226</v>
      </c>
      <c r="B211" s="30" t="s">
        <v>359</v>
      </c>
      <c r="C211" s="30" t="s">
        <v>1009</v>
      </c>
      <c r="D211" s="30" t="s">
        <v>999</v>
      </c>
      <c r="E211" s="30" t="s">
        <v>1010</v>
      </c>
      <c r="F211" s="30" t="s">
        <v>1001</v>
      </c>
      <c r="G211" s="30" t="s">
        <v>1002</v>
      </c>
      <c r="H211" s="30" t="s">
        <v>1003</v>
      </c>
      <c r="I211" s="30" t="n">
        <v>1</v>
      </c>
      <c r="J211" s="30"/>
      <c r="K211" s="30" t="n">
        <v>80</v>
      </c>
      <c r="L211" s="30" t="n">
        <v>5.5</v>
      </c>
      <c r="M211" s="30" t="s">
        <v>1015</v>
      </c>
      <c r="N211" s="30" t="s">
        <v>53</v>
      </c>
      <c r="O211" s="30"/>
      <c r="P211" s="30"/>
      <c r="Q211" s="30"/>
      <c r="R211" s="30"/>
      <c r="S211" s="30"/>
      <c r="T211" s="30"/>
      <c r="U211" s="30" t="n">
        <v>532</v>
      </c>
      <c r="V211" s="30" t="n">
        <v>566.07</v>
      </c>
      <c r="W211" s="30" t="n">
        <v>90.4</v>
      </c>
      <c r="X211" s="30" t="s">
        <v>1005</v>
      </c>
      <c r="Y211" s="30" t="n">
        <v>83.39</v>
      </c>
      <c r="Z211" s="30" t="s">
        <v>1005</v>
      </c>
      <c r="AA211" s="30" t="n">
        <v>105.27</v>
      </c>
      <c r="AB211" s="30" t="s">
        <v>1005</v>
      </c>
      <c r="AC211" s="30" t="n">
        <v>42.51</v>
      </c>
      <c r="AD211" s="30" t="s">
        <v>1005</v>
      </c>
      <c r="AE211" s="30" t="n">
        <v>26.25</v>
      </c>
      <c r="AF211" s="30" t="s">
        <v>1005</v>
      </c>
      <c r="AG211" s="30" t="n">
        <v>0</v>
      </c>
      <c r="AH211" s="30" t="s">
        <v>1006</v>
      </c>
      <c r="AI211" s="30" t="n">
        <v>0</v>
      </c>
      <c r="AJ211" s="30" t="s">
        <v>1006</v>
      </c>
      <c r="AK211" s="30" t="n">
        <v>0</v>
      </c>
      <c r="AL211" s="30" t="s">
        <v>1006</v>
      </c>
      <c r="AM211" s="30" t="n">
        <v>6.12</v>
      </c>
      <c r="AN211" s="30" t="s">
        <v>1006</v>
      </c>
      <c r="AO211" s="30" t="n">
        <v>42.91</v>
      </c>
      <c r="AP211" s="30" t="s">
        <v>1005</v>
      </c>
      <c r="AQ211" s="30" t="n">
        <v>101.92</v>
      </c>
      <c r="AR211" s="30" t="s">
        <v>1006</v>
      </c>
      <c r="AS211" s="30" t="n">
        <v>101.92</v>
      </c>
      <c r="AT211" s="30" t="s">
        <v>1006</v>
      </c>
      <c r="AU211" s="30" t="n">
        <v>600.69</v>
      </c>
      <c r="AV211" s="30" t="n">
        <v>0.29878</v>
      </c>
      <c r="AW211" s="30" t="s">
        <v>1016</v>
      </c>
      <c r="AX211" s="30" t="s">
        <v>1008</v>
      </c>
      <c r="AY211" s="30" t="n">
        <v>1</v>
      </c>
      <c r="AZ211" s="30"/>
    </row>
    <row collapsed="false" customFormat="true" customHeight="true" hidden="false" ht="33" outlineLevel="0" r="212" s="73">
      <c r="A212" s="30" t="n">
        <v>227</v>
      </c>
      <c r="B212" s="30" t="s">
        <v>360</v>
      </c>
      <c r="C212" s="30" t="s">
        <v>1009</v>
      </c>
      <c r="D212" s="30" t="s">
        <v>999</v>
      </c>
      <c r="E212" s="30" t="s">
        <v>1010</v>
      </c>
      <c r="F212" s="30" t="s">
        <v>1001</v>
      </c>
      <c r="G212" s="30" t="s">
        <v>1002</v>
      </c>
      <c r="H212" s="30" t="s">
        <v>1003</v>
      </c>
      <c r="I212" s="30" t="n">
        <v>1</v>
      </c>
      <c r="J212" s="30"/>
      <c r="K212" s="30" t="n">
        <v>65</v>
      </c>
      <c r="L212" s="30" t="n">
        <v>5.5</v>
      </c>
      <c r="M212" s="30" t="s">
        <v>1015</v>
      </c>
      <c r="N212" s="30" t="s">
        <v>54</v>
      </c>
      <c r="O212" s="30"/>
      <c r="P212" s="30"/>
      <c r="Q212" s="30"/>
      <c r="R212" s="30"/>
      <c r="S212" s="30"/>
      <c r="T212" s="30"/>
      <c r="U212" s="30" t="n">
        <v>574.35</v>
      </c>
      <c r="V212" s="30" t="n">
        <v>748.9</v>
      </c>
      <c r="W212" s="30" t="n">
        <v>68.65</v>
      </c>
      <c r="X212" s="30" t="s">
        <v>1006</v>
      </c>
      <c r="Y212" s="30" t="n">
        <v>68.65</v>
      </c>
      <c r="Z212" s="30" t="s">
        <v>1006</v>
      </c>
      <c r="AA212" s="30" t="n">
        <v>68.65</v>
      </c>
      <c r="AB212" s="30" t="s">
        <v>1006</v>
      </c>
      <c r="AC212" s="30" t="n">
        <v>68.65</v>
      </c>
      <c r="AD212" s="30" t="s">
        <v>1006</v>
      </c>
      <c r="AE212" s="30" t="n">
        <v>19.93</v>
      </c>
      <c r="AF212" s="30" t="s">
        <v>1006</v>
      </c>
      <c r="AG212" s="30" t="n">
        <v>0</v>
      </c>
      <c r="AH212" s="30" t="s">
        <v>1006</v>
      </c>
      <c r="AI212" s="30" t="n">
        <v>0</v>
      </c>
      <c r="AJ212" s="30" t="s">
        <v>1006</v>
      </c>
      <c r="AK212" s="30" t="n">
        <v>0</v>
      </c>
      <c r="AL212" s="30" t="s">
        <v>1006</v>
      </c>
      <c r="AM212" s="30" t="n">
        <v>17.49</v>
      </c>
      <c r="AN212" s="30" t="s">
        <v>1006</v>
      </c>
      <c r="AO212" s="30" t="n">
        <v>74.96</v>
      </c>
      <c r="AP212" s="30" t="s">
        <v>1005</v>
      </c>
      <c r="AQ212" s="30" t="n">
        <v>36.41</v>
      </c>
      <c r="AR212" s="30" t="s">
        <v>1005</v>
      </c>
      <c r="AS212" s="30" t="n">
        <v>66.67</v>
      </c>
      <c r="AT212" s="30" t="s">
        <v>1005</v>
      </c>
      <c r="AU212" s="30" t="n">
        <v>490.06</v>
      </c>
      <c r="AV212" s="30" t="n">
        <v>0.30902</v>
      </c>
      <c r="AW212" s="30" t="s">
        <v>1016</v>
      </c>
      <c r="AX212" s="30" t="s">
        <v>1008</v>
      </c>
      <c r="AY212" s="30" t="n">
        <v>1</v>
      </c>
      <c r="AZ212" s="30"/>
    </row>
    <row collapsed="false" customFormat="true" customHeight="true" hidden="false" ht="33" outlineLevel="0" r="213" s="73">
      <c r="A213" s="30" t="n">
        <v>228</v>
      </c>
      <c r="B213" s="30" t="s">
        <v>361</v>
      </c>
      <c r="C213" s="30" t="s">
        <v>1009</v>
      </c>
      <c r="D213" s="30" t="s">
        <v>999</v>
      </c>
      <c r="E213" s="30" t="s">
        <v>1010</v>
      </c>
      <c r="F213" s="30" t="s">
        <v>1001</v>
      </c>
      <c r="G213" s="30" t="s">
        <v>1002</v>
      </c>
      <c r="H213" s="30" t="s">
        <v>1003</v>
      </c>
      <c r="I213" s="30" t="n">
        <v>2</v>
      </c>
      <c r="J213" s="30"/>
      <c r="K213" s="30" t="n">
        <v>80</v>
      </c>
      <c r="L213" s="30" t="n">
        <v>5.5</v>
      </c>
      <c r="M213" s="30" t="s">
        <v>1015</v>
      </c>
      <c r="N213" s="30" t="s">
        <v>54</v>
      </c>
      <c r="O213" s="30"/>
      <c r="P213" s="30"/>
      <c r="Q213" s="30"/>
      <c r="R213" s="30"/>
      <c r="S213" s="30"/>
      <c r="T213" s="30"/>
      <c r="U213" s="30" t="n">
        <v>598.64</v>
      </c>
      <c r="V213" s="30" t="n">
        <v>887.18</v>
      </c>
      <c r="W213" s="30" t="n">
        <v>98.39</v>
      </c>
      <c r="X213" s="30" t="s">
        <v>1006</v>
      </c>
      <c r="Y213" s="30" t="n">
        <v>98.39</v>
      </c>
      <c r="Z213" s="30" t="s">
        <v>1006</v>
      </c>
      <c r="AA213" s="30" t="n">
        <v>98.39</v>
      </c>
      <c r="AB213" s="30" t="s">
        <v>1006</v>
      </c>
      <c r="AC213" s="30" t="n">
        <v>98.39</v>
      </c>
      <c r="AD213" s="30" t="s">
        <v>1006</v>
      </c>
      <c r="AE213" s="30" t="n">
        <v>28.56</v>
      </c>
      <c r="AF213" s="30" t="s">
        <v>1006</v>
      </c>
      <c r="AG213" s="30" t="n">
        <v>0</v>
      </c>
      <c r="AH213" s="30" t="s">
        <v>1006</v>
      </c>
      <c r="AI213" s="30" t="n">
        <v>0</v>
      </c>
      <c r="AJ213" s="30" t="s">
        <v>1006</v>
      </c>
      <c r="AK213" s="30" t="n">
        <v>0</v>
      </c>
      <c r="AL213" s="30" t="s">
        <v>1006</v>
      </c>
      <c r="AM213" s="30" t="n">
        <v>24.64</v>
      </c>
      <c r="AN213" s="30" t="s">
        <v>1006</v>
      </c>
      <c r="AO213" s="30" t="n">
        <v>27.13</v>
      </c>
      <c r="AP213" s="30" t="s">
        <v>1005</v>
      </c>
      <c r="AQ213" s="30" t="n">
        <v>43.91</v>
      </c>
      <c r="AR213" s="30" t="s">
        <v>1005</v>
      </c>
      <c r="AS213" s="30" t="n">
        <v>57.2</v>
      </c>
      <c r="AT213" s="30" t="s">
        <v>1005</v>
      </c>
      <c r="AU213" s="30" t="n">
        <v>575</v>
      </c>
      <c r="AV213" s="30" t="n">
        <v>0.45516</v>
      </c>
      <c r="AW213" s="30" t="s">
        <v>1016</v>
      </c>
      <c r="AX213" s="30" t="s">
        <v>1008</v>
      </c>
      <c r="AY213" s="30" t="n">
        <v>1</v>
      </c>
      <c r="AZ213" s="30"/>
    </row>
    <row collapsed="false" customFormat="true" customHeight="true" hidden="false" ht="33" outlineLevel="0" r="214" s="73">
      <c r="A214" s="30" t="n">
        <v>229</v>
      </c>
      <c r="B214" s="30" t="s">
        <v>363</v>
      </c>
      <c r="C214" s="30" t="s">
        <v>1009</v>
      </c>
      <c r="D214" s="30" t="s">
        <v>999</v>
      </c>
      <c r="E214" s="30" t="s">
        <v>1010</v>
      </c>
      <c r="F214" s="30" t="s">
        <v>1001</v>
      </c>
      <c r="G214" s="30" t="s">
        <v>1002</v>
      </c>
      <c r="H214" s="30" t="s">
        <v>1003</v>
      </c>
      <c r="I214" s="30" t="n">
        <v>1</v>
      </c>
      <c r="J214" s="30"/>
      <c r="K214" s="30" t="n">
        <v>65</v>
      </c>
      <c r="L214" s="30" t="n">
        <v>5.5</v>
      </c>
      <c r="M214" s="30" t="s">
        <v>1015</v>
      </c>
      <c r="N214" s="30" t="s">
        <v>54</v>
      </c>
      <c r="O214" s="30"/>
      <c r="P214" s="30"/>
      <c r="Q214" s="30"/>
      <c r="R214" s="30"/>
      <c r="S214" s="30"/>
      <c r="T214" s="30"/>
      <c r="U214" s="30" t="n">
        <v>413.22</v>
      </c>
      <c r="V214" s="30" t="n">
        <v>613.64</v>
      </c>
      <c r="W214" s="30" t="n">
        <v>64.04</v>
      </c>
      <c r="X214" s="30" t="s">
        <v>1006</v>
      </c>
      <c r="Y214" s="30" t="n">
        <v>64.04</v>
      </c>
      <c r="Z214" s="30" t="s">
        <v>1006</v>
      </c>
      <c r="AA214" s="30" t="n">
        <v>64.04</v>
      </c>
      <c r="AB214" s="30" t="s">
        <v>1006</v>
      </c>
      <c r="AC214" s="30" t="n">
        <v>64.04</v>
      </c>
      <c r="AD214" s="30" t="s">
        <v>1006</v>
      </c>
      <c r="AE214" s="30" t="n">
        <v>18.59</v>
      </c>
      <c r="AF214" s="30" t="s">
        <v>1006</v>
      </c>
      <c r="AG214" s="30" t="n">
        <v>0</v>
      </c>
      <c r="AH214" s="30" t="s">
        <v>1006</v>
      </c>
      <c r="AI214" s="30" t="n">
        <v>0</v>
      </c>
      <c r="AJ214" s="30" t="s">
        <v>1006</v>
      </c>
      <c r="AK214" s="30" t="n">
        <v>0</v>
      </c>
      <c r="AL214" s="30" t="s">
        <v>1006</v>
      </c>
      <c r="AM214" s="30" t="n">
        <v>13.46</v>
      </c>
      <c r="AN214" s="30" t="s">
        <v>1006</v>
      </c>
      <c r="AO214" s="30" t="n">
        <v>67.28</v>
      </c>
      <c r="AP214" s="30" t="s">
        <v>1006</v>
      </c>
      <c r="AQ214" s="30" t="n">
        <v>67.28</v>
      </c>
      <c r="AR214" s="30" t="s">
        <v>1006</v>
      </c>
      <c r="AS214" s="30" t="n">
        <v>67.28</v>
      </c>
      <c r="AT214" s="30" t="s">
        <v>1006</v>
      </c>
      <c r="AU214" s="30" t="n">
        <v>490.05</v>
      </c>
      <c r="AV214" s="30" t="n">
        <v>0.22073</v>
      </c>
      <c r="AW214" s="30" t="s">
        <v>1016</v>
      </c>
      <c r="AX214" s="30" t="s">
        <v>1008</v>
      </c>
      <c r="AY214" s="30" t="n">
        <v>1</v>
      </c>
      <c r="AZ214" s="30"/>
    </row>
    <row collapsed="false" customFormat="true" customHeight="true" hidden="false" ht="33" outlineLevel="0" r="215" s="73">
      <c r="A215" s="30" t="n">
        <v>230</v>
      </c>
      <c r="B215" s="30" t="s">
        <v>364</v>
      </c>
      <c r="C215" s="30" t="s">
        <v>1009</v>
      </c>
      <c r="D215" s="30" t="s">
        <v>999</v>
      </c>
      <c r="E215" s="30" t="s">
        <v>1010</v>
      </c>
      <c r="F215" s="30" t="s">
        <v>1001</v>
      </c>
      <c r="G215" s="30" t="s">
        <v>1002</v>
      </c>
      <c r="H215" s="30" t="s">
        <v>1003</v>
      </c>
      <c r="I215" s="30" t="n">
        <v>1</v>
      </c>
      <c r="J215" s="30"/>
      <c r="K215" s="30" t="n">
        <v>65</v>
      </c>
      <c r="L215" s="30" t="n">
        <v>5.5</v>
      </c>
      <c r="M215" s="30" t="s">
        <v>1015</v>
      </c>
      <c r="N215" s="30" t="s">
        <v>54</v>
      </c>
      <c r="O215" s="30"/>
      <c r="P215" s="30"/>
      <c r="Q215" s="30"/>
      <c r="R215" s="30"/>
      <c r="S215" s="30"/>
      <c r="T215" s="30"/>
      <c r="U215" s="30" t="n">
        <v>382.09</v>
      </c>
      <c r="V215" s="30" t="n">
        <v>503.76</v>
      </c>
      <c r="W215" s="30" t="n">
        <v>46.81</v>
      </c>
      <c r="X215" s="30" t="s">
        <v>1006</v>
      </c>
      <c r="Y215" s="30" t="n">
        <v>46.81</v>
      </c>
      <c r="Z215" s="30" t="s">
        <v>1006</v>
      </c>
      <c r="AA215" s="30" t="n">
        <v>46.81</v>
      </c>
      <c r="AB215" s="30" t="s">
        <v>1006</v>
      </c>
      <c r="AC215" s="30" t="n">
        <v>46.81</v>
      </c>
      <c r="AD215" s="30" t="s">
        <v>1006</v>
      </c>
      <c r="AE215" s="30" t="n">
        <v>13.59</v>
      </c>
      <c r="AF215" s="30" t="s">
        <v>1006</v>
      </c>
      <c r="AG215" s="30" t="n">
        <v>0</v>
      </c>
      <c r="AH215" s="30" t="s">
        <v>1006</v>
      </c>
      <c r="AI215" s="30" t="n">
        <v>0</v>
      </c>
      <c r="AJ215" s="30" t="s">
        <v>1006</v>
      </c>
      <c r="AK215" s="30" t="n">
        <v>0</v>
      </c>
      <c r="AL215" s="30" t="s">
        <v>1006</v>
      </c>
      <c r="AM215" s="30" t="n">
        <v>9.84</v>
      </c>
      <c r="AN215" s="30" t="s">
        <v>1006</v>
      </c>
      <c r="AO215" s="30" t="n">
        <v>49.18</v>
      </c>
      <c r="AP215" s="30" t="s">
        <v>1006</v>
      </c>
      <c r="AQ215" s="30" t="n">
        <v>49.18</v>
      </c>
      <c r="AR215" s="30" t="s">
        <v>1006</v>
      </c>
      <c r="AS215" s="30" t="n">
        <v>49.18</v>
      </c>
      <c r="AT215" s="30" t="s">
        <v>1006</v>
      </c>
      <c r="AU215" s="30" t="n">
        <v>358.21</v>
      </c>
      <c r="AV215" s="30" t="n">
        <v>0.20267</v>
      </c>
      <c r="AW215" s="30" t="s">
        <v>1016</v>
      </c>
      <c r="AX215" s="30" t="s">
        <v>1008</v>
      </c>
      <c r="AY215" s="30" t="n">
        <v>1</v>
      </c>
      <c r="AZ215" s="30"/>
    </row>
    <row collapsed="false" customFormat="true" customHeight="true" hidden="false" ht="33" outlineLevel="0" r="216" s="73">
      <c r="A216" s="30" t="n">
        <v>231</v>
      </c>
      <c r="B216" s="30" t="s">
        <v>366</v>
      </c>
      <c r="C216" s="30" t="s">
        <v>1009</v>
      </c>
      <c r="D216" s="30" t="s">
        <v>999</v>
      </c>
      <c r="E216" s="30" t="s">
        <v>1010</v>
      </c>
      <c r="F216" s="30" t="s">
        <v>1001</v>
      </c>
      <c r="G216" s="30" t="s">
        <v>1002</v>
      </c>
      <c r="H216" s="30" t="s">
        <v>1003</v>
      </c>
      <c r="I216" s="30" t="n">
        <v>1</v>
      </c>
      <c r="J216" s="30"/>
      <c r="K216" s="30" t="n">
        <v>65</v>
      </c>
      <c r="L216" s="30" t="n">
        <v>5.5</v>
      </c>
      <c r="M216" s="30" t="s">
        <v>1015</v>
      </c>
      <c r="N216" s="30" t="s">
        <v>54</v>
      </c>
      <c r="O216" s="30"/>
      <c r="P216" s="30"/>
      <c r="Q216" s="30"/>
      <c r="R216" s="30"/>
      <c r="S216" s="30"/>
      <c r="T216" s="30"/>
      <c r="U216" s="30" t="n">
        <v>410.33</v>
      </c>
      <c r="V216" s="30" t="n">
        <v>815.61</v>
      </c>
      <c r="W216" s="30" t="n">
        <v>83.5</v>
      </c>
      <c r="X216" s="30" t="s">
        <v>1006</v>
      </c>
      <c r="Y216" s="30" t="n">
        <v>83.5</v>
      </c>
      <c r="Z216" s="30" t="s">
        <v>1006</v>
      </c>
      <c r="AA216" s="30" t="n">
        <v>83.5</v>
      </c>
      <c r="AB216" s="30" t="s">
        <v>1006</v>
      </c>
      <c r="AC216" s="30" t="n">
        <v>83.5</v>
      </c>
      <c r="AD216" s="30" t="s">
        <v>1006</v>
      </c>
      <c r="AE216" s="30" t="n">
        <v>24.24</v>
      </c>
      <c r="AF216" s="30" t="s">
        <v>1006</v>
      </c>
      <c r="AG216" s="30" t="n">
        <v>0</v>
      </c>
      <c r="AH216" s="30" t="s">
        <v>1006</v>
      </c>
      <c r="AI216" s="30" t="n">
        <v>0</v>
      </c>
      <c r="AJ216" s="30" t="s">
        <v>1006</v>
      </c>
      <c r="AK216" s="30" t="n">
        <v>0</v>
      </c>
      <c r="AL216" s="30" t="s">
        <v>1006</v>
      </c>
      <c r="AM216" s="30" t="n">
        <v>18.24</v>
      </c>
      <c r="AN216" s="30" t="s">
        <v>1006</v>
      </c>
      <c r="AO216" s="30" t="n">
        <v>91.19</v>
      </c>
      <c r="AP216" s="30" t="s">
        <v>1006</v>
      </c>
      <c r="AQ216" s="30" t="n">
        <v>91.19</v>
      </c>
      <c r="AR216" s="30" t="s">
        <v>1006</v>
      </c>
      <c r="AS216" s="30" t="n">
        <v>91.19</v>
      </c>
      <c r="AT216" s="30" t="s">
        <v>1006</v>
      </c>
      <c r="AU216" s="30" t="n">
        <v>650.05</v>
      </c>
      <c r="AV216" s="30" t="n">
        <v>0.21972</v>
      </c>
      <c r="AW216" s="30" t="s">
        <v>1016</v>
      </c>
      <c r="AX216" s="30" t="s">
        <v>1008</v>
      </c>
      <c r="AY216" s="30" t="n">
        <v>1</v>
      </c>
      <c r="AZ216" s="30"/>
    </row>
    <row collapsed="false" customFormat="true" customHeight="true" hidden="false" ht="33" outlineLevel="0" r="217" s="73">
      <c r="A217" s="30" t="n">
        <v>232</v>
      </c>
      <c r="B217" s="30" t="s">
        <v>368</v>
      </c>
      <c r="C217" s="30" t="s">
        <v>1009</v>
      </c>
      <c r="D217" s="30" t="s">
        <v>999</v>
      </c>
      <c r="E217" s="30" t="s">
        <v>1010</v>
      </c>
      <c r="F217" s="30" t="s">
        <v>1001</v>
      </c>
      <c r="G217" s="30" t="s">
        <v>1002</v>
      </c>
      <c r="H217" s="30" t="s">
        <v>1003</v>
      </c>
      <c r="I217" s="30" t="n">
        <v>1</v>
      </c>
      <c r="J217" s="30"/>
      <c r="K217" s="30" t="n">
        <v>80</v>
      </c>
      <c r="L217" s="30" t="n">
        <v>5.5</v>
      </c>
      <c r="M217" s="30" t="s">
        <v>1015</v>
      </c>
      <c r="N217" s="30" t="s">
        <v>53</v>
      </c>
      <c r="O217" s="30"/>
      <c r="P217" s="30"/>
      <c r="Q217" s="30"/>
      <c r="R217" s="30"/>
      <c r="S217" s="30"/>
      <c r="T217" s="30"/>
      <c r="U217" s="30" t="n">
        <v>438.35</v>
      </c>
      <c r="V217" s="30" t="n">
        <v>745.97</v>
      </c>
      <c r="W217" s="30" t="n">
        <v>74.35</v>
      </c>
      <c r="X217" s="30" t="s">
        <v>1006</v>
      </c>
      <c r="Y217" s="30" t="n">
        <v>74.35</v>
      </c>
      <c r="Z217" s="30" t="s">
        <v>1006</v>
      </c>
      <c r="AA217" s="30" t="n">
        <v>74.35</v>
      </c>
      <c r="AB217" s="30" t="s">
        <v>1006</v>
      </c>
      <c r="AC217" s="30" t="n">
        <v>74.35</v>
      </c>
      <c r="AD217" s="30" t="s">
        <v>1006</v>
      </c>
      <c r="AE217" s="30" t="n">
        <v>21.59</v>
      </c>
      <c r="AF217" s="30" t="s">
        <v>1006</v>
      </c>
      <c r="AG217" s="30" t="n">
        <v>0</v>
      </c>
      <c r="AH217" s="30" t="s">
        <v>1006</v>
      </c>
      <c r="AI217" s="30" t="n">
        <v>0</v>
      </c>
      <c r="AJ217" s="30" t="s">
        <v>1006</v>
      </c>
      <c r="AK217" s="30" t="n">
        <v>0</v>
      </c>
      <c r="AL217" s="30" t="s">
        <v>1006</v>
      </c>
      <c r="AM217" s="30" t="n">
        <v>15.62</v>
      </c>
      <c r="AN217" s="30" t="s">
        <v>1006</v>
      </c>
      <c r="AO217" s="30" t="n">
        <v>20.98</v>
      </c>
      <c r="AP217" s="30" t="s">
        <v>1005</v>
      </c>
      <c r="AQ217" s="30" t="n">
        <v>40.95</v>
      </c>
      <c r="AR217" s="30" t="s">
        <v>1005</v>
      </c>
      <c r="AS217" s="30" t="n">
        <v>51.1</v>
      </c>
      <c r="AT217" s="30" t="s">
        <v>1005</v>
      </c>
      <c r="AU217" s="30" t="n">
        <v>447.64</v>
      </c>
      <c r="AV217" s="30" t="n">
        <v>0.31784</v>
      </c>
      <c r="AW217" s="30" t="s">
        <v>1016</v>
      </c>
      <c r="AX217" s="30" t="s">
        <v>1008</v>
      </c>
      <c r="AY217" s="30" t="n">
        <v>1</v>
      </c>
      <c r="AZ217" s="30"/>
    </row>
    <row collapsed="false" customFormat="true" customHeight="true" hidden="false" ht="33" outlineLevel="0" r="218" s="73">
      <c r="A218" s="30" t="n">
        <v>233</v>
      </c>
      <c r="B218" s="30" t="s">
        <v>369</v>
      </c>
      <c r="C218" s="30" t="s">
        <v>1009</v>
      </c>
      <c r="D218" s="30" t="s">
        <v>999</v>
      </c>
      <c r="E218" s="30" t="s">
        <v>1010</v>
      </c>
      <c r="F218" s="30" t="s">
        <v>1001</v>
      </c>
      <c r="G218" s="30" t="s">
        <v>1002</v>
      </c>
      <c r="H218" s="30" t="s">
        <v>1003</v>
      </c>
      <c r="I218" s="30" t="n">
        <v>1</v>
      </c>
      <c r="J218" s="30"/>
      <c r="K218" s="30" t="n">
        <v>80</v>
      </c>
      <c r="L218" s="30" t="n">
        <v>5.5</v>
      </c>
      <c r="M218" s="30" t="s">
        <v>1015</v>
      </c>
      <c r="N218" s="30" t="s">
        <v>53</v>
      </c>
      <c r="O218" s="30"/>
      <c r="P218" s="30"/>
      <c r="Q218" s="30"/>
      <c r="R218" s="30"/>
      <c r="S218" s="30"/>
      <c r="T218" s="30"/>
      <c r="U218" s="30" t="n">
        <v>618.7</v>
      </c>
      <c r="V218" s="30" t="n">
        <v>816.5</v>
      </c>
      <c r="W218" s="30" t="n">
        <v>86.27</v>
      </c>
      <c r="X218" s="30" t="s">
        <v>1006</v>
      </c>
      <c r="Y218" s="30" t="n">
        <v>86.27</v>
      </c>
      <c r="Z218" s="30" t="s">
        <v>1006</v>
      </c>
      <c r="AA218" s="30" t="n">
        <v>86.27</v>
      </c>
      <c r="AB218" s="30" t="s">
        <v>1006</v>
      </c>
      <c r="AC218" s="30" t="n">
        <v>86.27</v>
      </c>
      <c r="AD218" s="30" t="s">
        <v>1006</v>
      </c>
      <c r="AE218" s="30" t="n">
        <v>25.05</v>
      </c>
      <c r="AF218" s="30" t="s">
        <v>1006</v>
      </c>
      <c r="AG218" s="30" t="n">
        <v>0</v>
      </c>
      <c r="AH218" s="30" t="s">
        <v>1006</v>
      </c>
      <c r="AI218" s="30" t="n">
        <v>0</v>
      </c>
      <c r="AJ218" s="30" t="s">
        <v>1006</v>
      </c>
      <c r="AK218" s="30" t="n">
        <v>0</v>
      </c>
      <c r="AL218" s="30" t="s">
        <v>1006</v>
      </c>
      <c r="AM218" s="30" t="n">
        <v>20.86</v>
      </c>
      <c r="AN218" s="30" t="s">
        <v>1006</v>
      </c>
      <c r="AO218" s="30" t="n">
        <v>89.42</v>
      </c>
      <c r="AP218" s="30" t="s">
        <v>1006</v>
      </c>
      <c r="AQ218" s="30" t="n">
        <v>89.42</v>
      </c>
      <c r="AR218" s="30" t="s">
        <v>1006</v>
      </c>
      <c r="AS218" s="30" t="n">
        <v>46.47</v>
      </c>
      <c r="AT218" s="30" t="s">
        <v>1006</v>
      </c>
      <c r="AU218" s="30" t="n">
        <v>616.3</v>
      </c>
      <c r="AV218" s="30" t="n">
        <v>0.41316</v>
      </c>
      <c r="AW218" s="30" t="s">
        <v>1016</v>
      </c>
      <c r="AX218" s="30" t="s">
        <v>1008</v>
      </c>
      <c r="AY218" s="30" t="n">
        <v>1</v>
      </c>
      <c r="AZ218" s="30"/>
    </row>
    <row collapsed="false" customFormat="true" customHeight="true" hidden="false" ht="33" outlineLevel="0" r="219" s="73">
      <c r="A219" s="30" t="n">
        <v>234</v>
      </c>
      <c r="B219" s="30" t="s">
        <v>370</v>
      </c>
      <c r="C219" s="30" t="s">
        <v>1009</v>
      </c>
      <c r="D219" s="30" t="s">
        <v>999</v>
      </c>
      <c r="E219" s="30" t="s">
        <v>1010</v>
      </c>
      <c r="F219" s="30" t="s">
        <v>1001</v>
      </c>
      <c r="G219" s="30" t="s">
        <v>1002</v>
      </c>
      <c r="H219" s="30" t="s">
        <v>1003</v>
      </c>
      <c r="I219" s="30" t="n">
        <v>1</v>
      </c>
      <c r="J219" s="30"/>
      <c r="K219" s="30" t="n">
        <v>80</v>
      </c>
      <c r="L219" s="30" t="n">
        <v>5.5</v>
      </c>
      <c r="M219" s="30" t="s">
        <v>1015</v>
      </c>
      <c r="N219" s="30" t="s">
        <v>53</v>
      </c>
      <c r="O219" s="30"/>
      <c r="P219" s="30"/>
      <c r="Q219" s="30"/>
      <c r="R219" s="30"/>
      <c r="S219" s="30"/>
      <c r="T219" s="30"/>
      <c r="U219" s="30" t="n">
        <v>441.01</v>
      </c>
      <c r="V219" s="30" t="n">
        <v>753.01</v>
      </c>
      <c r="W219" s="30" t="n">
        <v>76.98</v>
      </c>
      <c r="X219" s="30" t="s">
        <v>1006</v>
      </c>
      <c r="Y219" s="30" t="n">
        <v>76.98</v>
      </c>
      <c r="Z219" s="30" t="s">
        <v>1006</v>
      </c>
      <c r="AA219" s="30" t="n">
        <v>76.98</v>
      </c>
      <c r="AB219" s="30" t="s">
        <v>1006</v>
      </c>
      <c r="AC219" s="30" t="n">
        <v>76.98</v>
      </c>
      <c r="AD219" s="30" t="s">
        <v>1006</v>
      </c>
      <c r="AE219" s="30" t="n">
        <v>22.35</v>
      </c>
      <c r="AF219" s="30" t="s">
        <v>1006</v>
      </c>
      <c r="AG219" s="30" t="n">
        <v>0</v>
      </c>
      <c r="AH219" s="30" t="s">
        <v>1006</v>
      </c>
      <c r="AI219" s="30" t="n">
        <v>0</v>
      </c>
      <c r="AJ219" s="30" t="s">
        <v>1006</v>
      </c>
      <c r="AK219" s="30" t="n">
        <v>0</v>
      </c>
      <c r="AL219" s="30" t="s">
        <v>1006</v>
      </c>
      <c r="AM219" s="30" t="n">
        <v>18.62</v>
      </c>
      <c r="AN219" s="30" t="s">
        <v>1006</v>
      </c>
      <c r="AO219" s="30" t="n">
        <v>79.8</v>
      </c>
      <c r="AP219" s="30" t="s">
        <v>1006</v>
      </c>
      <c r="AQ219" s="30" t="n">
        <v>79.8</v>
      </c>
      <c r="AR219" s="30" t="s">
        <v>1006</v>
      </c>
      <c r="AS219" s="30" t="n">
        <v>45.94</v>
      </c>
      <c r="AT219" s="30" t="s">
        <v>1006</v>
      </c>
      <c r="AU219" s="30" t="n">
        <v>554.43</v>
      </c>
      <c r="AV219" s="30" t="n">
        <v>0.31185</v>
      </c>
      <c r="AW219" s="30" t="s">
        <v>1016</v>
      </c>
      <c r="AX219" s="30" t="s">
        <v>1008</v>
      </c>
      <c r="AY219" s="30" t="n">
        <v>1</v>
      </c>
      <c r="AZ219" s="30"/>
    </row>
    <row collapsed="false" customFormat="true" customHeight="true" hidden="false" ht="33" outlineLevel="0" r="220" s="73">
      <c r="A220" s="30" t="n">
        <v>235</v>
      </c>
      <c r="B220" s="30" t="s">
        <v>372</v>
      </c>
      <c r="C220" s="30" t="s">
        <v>1009</v>
      </c>
      <c r="D220" s="30" t="s">
        <v>999</v>
      </c>
      <c r="E220" s="30" t="s">
        <v>1010</v>
      </c>
      <c r="F220" s="30" t="s">
        <v>1011</v>
      </c>
      <c r="G220" s="30" t="s">
        <v>1002</v>
      </c>
      <c r="H220" s="30" t="s">
        <v>1003</v>
      </c>
      <c r="I220" s="30" t="n">
        <v>0</v>
      </c>
      <c r="J220" s="30"/>
      <c r="K220" s="30"/>
      <c r="L220" s="30"/>
      <c r="M220" s="30" t="s">
        <v>1004</v>
      </c>
      <c r="N220" s="30" t="s">
        <v>54</v>
      </c>
      <c r="O220" s="30"/>
      <c r="P220" s="30"/>
      <c r="Q220" s="30"/>
      <c r="R220" s="30"/>
      <c r="S220" s="30"/>
      <c r="T220" s="30"/>
      <c r="U220" s="30" t="n">
        <v>123.6</v>
      </c>
      <c r="V220" s="30" t="n">
        <v>125.07</v>
      </c>
      <c r="W220" s="30" t="n">
        <v>15.22</v>
      </c>
      <c r="X220" s="30" t="s">
        <v>1006</v>
      </c>
      <c r="Y220" s="30" t="n">
        <v>15.22</v>
      </c>
      <c r="Z220" s="30" t="s">
        <v>1006</v>
      </c>
      <c r="AA220" s="30" t="n">
        <v>15.22</v>
      </c>
      <c r="AB220" s="30" t="s">
        <v>1006</v>
      </c>
      <c r="AC220" s="30" t="n">
        <v>15.22</v>
      </c>
      <c r="AD220" s="30" t="s">
        <v>1006</v>
      </c>
      <c r="AE220" s="30" t="n">
        <v>4.42</v>
      </c>
      <c r="AF220" s="30" t="s">
        <v>1006</v>
      </c>
      <c r="AG220" s="30" t="n">
        <v>0</v>
      </c>
      <c r="AH220" s="30" t="s">
        <v>1006</v>
      </c>
      <c r="AI220" s="30" t="n">
        <v>0</v>
      </c>
      <c r="AJ220" s="30" t="s">
        <v>1006</v>
      </c>
      <c r="AK220" s="30" t="n">
        <v>0</v>
      </c>
      <c r="AL220" s="30" t="s">
        <v>1006</v>
      </c>
      <c r="AM220" s="30" t="n">
        <v>0</v>
      </c>
      <c r="AN220" s="30" t="s">
        <v>1006</v>
      </c>
      <c r="AO220" s="30" t="n">
        <v>14.45</v>
      </c>
      <c r="AP220" s="30" t="s">
        <v>1006</v>
      </c>
      <c r="AQ220" s="30" t="n">
        <v>14.45</v>
      </c>
      <c r="AR220" s="30" t="s">
        <v>1006</v>
      </c>
      <c r="AS220" s="30" t="n">
        <v>14.45</v>
      </c>
      <c r="AT220" s="30" t="s">
        <v>1006</v>
      </c>
      <c r="AU220" s="30" t="n">
        <v>108.65</v>
      </c>
      <c r="AV220" s="30" t="n">
        <v>0.083</v>
      </c>
      <c r="AW220" s="30" t="s">
        <v>1007</v>
      </c>
      <c r="AX220" s="30" t="s">
        <v>1008</v>
      </c>
      <c r="AY220" s="30" t="n">
        <v>0</v>
      </c>
      <c r="AZ220" s="30"/>
    </row>
    <row collapsed="false" customFormat="true" customHeight="true" hidden="false" ht="33" outlineLevel="0" r="221" s="73">
      <c r="A221" s="30" t="n">
        <v>236</v>
      </c>
      <c r="B221" s="30" t="s">
        <v>373</v>
      </c>
      <c r="C221" s="30" t="s">
        <v>1009</v>
      </c>
      <c r="D221" s="30" t="s">
        <v>999</v>
      </c>
      <c r="E221" s="30" t="s">
        <v>1010</v>
      </c>
      <c r="F221" s="30" t="s">
        <v>1011</v>
      </c>
      <c r="G221" s="30" t="s">
        <v>1002</v>
      </c>
      <c r="H221" s="30" t="s">
        <v>1003</v>
      </c>
      <c r="I221" s="30" t="n">
        <v>0</v>
      </c>
      <c r="J221" s="30"/>
      <c r="K221" s="30"/>
      <c r="L221" s="30"/>
      <c r="M221" s="30" t="s">
        <v>1004</v>
      </c>
      <c r="N221" s="30" t="s">
        <v>54</v>
      </c>
      <c r="O221" s="30"/>
      <c r="P221" s="30"/>
      <c r="Q221" s="30"/>
      <c r="R221" s="30"/>
      <c r="S221" s="30"/>
      <c r="T221" s="30"/>
      <c r="U221" s="30" t="n">
        <v>144.62</v>
      </c>
      <c r="V221" s="30" t="n">
        <v>145.57</v>
      </c>
      <c r="W221" s="30" t="n">
        <v>16.05</v>
      </c>
      <c r="X221" s="30" t="s">
        <v>1006</v>
      </c>
      <c r="Y221" s="30" t="n">
        <v>16.05</v>
      </c>
      <c r="Z221" s="30" t="s">
        <v>1006</v>
      </c>
      <c r="AA221" s="30" t="n">
        <v>16.05</v>
      </c>
      <c r="AB221" s="30" t="s">
        <v>1006</v>
      </c>
      <c r="AC221" s="30" t="n">
        <v>16.05</v>
      </c>
      <c r="AD221" s="30" t="s">
        <v>1006</v>
      </c>
      <c r="AE221" s="30" t="n">
        <v>4.66</v>
      </c>
      <c r="AF221" s="30" t="s">
        <v>1006</v>
      </c>
      <c r="AG221" s="30" t="n">
        <v>0</v>
      </c>
      <c r="AH221" s="30" t="s">
        <v>1006</v>
      </c>
      <c r="AI221" s="30" t="n">
        <v>0</v>
      </c>
      <c r="AJ221" s="30" t="s">
        <v>1006</v>
      </c>
      <c r="AK221" s="30" t="n">
        <v>0</v>
      </c>
      <c r="AL221" s="30" t="s">
        <v>1006</v>
      </c>
      <c r="AM221" s="30" t="n">
        <v>0</v>
      </c>
      <c r="AN221" s="30" t="s">
        <v>1006</v>
      </c>
      <c r="AO221" s="30" t="n">
        <v>15.36</v>
      </c>
      <c r="AP221" s="30" t="s">
        <v>1006</v>
      </c>
      <c r="AQ221" s="30" t="n">
        <v>15.36</v>
      </c>
      <c r="AR221" s="30" t="s">
        <v>1006</v>
      </c>
      <c r="AS221" s="30" t="n">
        <v>15.36</v>
      </c>
      <c r="AT221" s="30" t="s">
        <v>1006</v>
      </c>
      <c r="AU221" s="30" t="n">
        <v>114.94</v>
      </c>
      <c r="AV221" s="30" t="n">
        <v>0.097</v>
      </c>
      <c r="AW221" s="30" t="s">
        <v>1007</v>
      </c>
      <c r="AX221" s="30" t="s">
        <v>1008</v>
      </c>
      <c r="AY221" s="30" t="n">
        <v>0</v>
      </c>
      <c r="AZ221" s="30"/>
    </row>
    <row collapsed="false" customFormat="true" customHeight="true" hidden="false" ht="33" outlineLevel="0" r="222" s="73">
      <c r="A222" s="30" t="n">
        <v>237</v>
      </c>
      <c r="B222" s="30" t="s">
        <v>374</v>
      </c>
      <c r="C222" s="30" t="s">
        <v>1009</v>
      </c>
      <c r="D222" s="30" t="s">
        <v>999</v>
      </c>
      <c r="E222" s="30" t="s">
        <v>1010</v>
      </c>
      <c r="F222" s="30" t="s">
        <v>1011</v>
      </c>
      <c r="G222" s="30" t="s">
        <v>1002</v>
      </c>
      <c r="H222" s="30" t="s">
        <v>1003</v>
      </c>
      <c r="I222" s="30" t="n">
        <v>0</v>
      </c>
      <c r="J222" s="30"/>
      <c r="K222" s="30"/>
      <c r="L222" s="30"/>
      <c r="M222" s="30" t="s">
        <v>1004</v>
      </c>
      <c r="N222" s="30" t="s">
        <v>54</v>
      </c>
      <c r="O222" s="30"/>
      <c r="P222" s="30"/>
      <c r="Q222" s="30"/>
      <c r="R222" s="30"/>
      <c r="S222" s="30"/>
      <c r="T222" s="30"/>
      <c r="U222" s="30" t="n">
        <v>140.17</v>
      </c>
      <c r="V222" s="30" t="n">
        <v>148.003</v>
      </c>
      <c r="W222" s="30" t="n">
        <v>15.85</v>
      </c>
      <c r="X222" s="30" t="s">
        <v>1006</v>
      </c>
      <c r="Y222" s="30" t="n">
        <v>15.85</v>
      </c>
      <c r="Z222" s="30" t="s">
        <v>1006</v>
      </c>
      <c r="AA222" s="30" t="n">
        <v>15.89</v>
      </c>
      <c r="AB222" s="30" t="s">
        <v>1006</v>
      </c>
      <c r="AC222" s="30" t="n">
        <v>15.85</v>
      </c>
      <c r="AD222" s="30" t="s">
        <v>1006</v>
      </c>
      <c r="AE222" s="30" t="n">
        <v>4.6</v>
      </c>
      <c r="AF222" s="30" t="s">
        <v>1006</v>
      </c>
      <c r="AG222" s="30" t="n">
        <v>0</v>
      </c>
      <c r="AH222" s="30" t="s">
        <v>1006</v>
      </c>
      <c r="AI222" s="30" t="n">
        <v>0</v>
      </c>
      <c r="AJ222" s="30" t="s">
        <v>1006</v>
      </c>
      <c r="AK222" s="30" t="n">
        <v>0</v>
      </c>
      <c r="AL222" s="30" t="s">
        <v>1006</v>
      </c>
      <c r="AM222" s="30" t="n">
        <v>0</v>
      </c>
      <c r="AN222" s="30" t="s">
        <v>1006</v>
      </c>
      <c r="AO222" s="30" t="n">
        <v>15.17</v>
      </c>
      <c r="AP222" s="30" t="s">
        <v>1006</v>
      </c>
      <c r="AQ222" s="30" t="n">
        <v>15.17</v>
      </c>
      <c r="AR222" s="30" t="s">
        <v>1006</v>
      </c>
      <c r="AS222" s="30" t="n">
        <v>15.17</v>
      </c>
      <c r="AT222" s="30" t="s">
        <v>1006</v>
      </c>
      <c r="AU222" s="30" t="n">
        <v>113.55</v>
      </c>
      <c r="AV222" s="30" t="n">
        <v>0.094</v>
      </c>
      <c r="AW222" s="30" t="s">
        <v>1007</v>
      </c>
      <c r="AX222" s="30" t="s">
        <v>1008</v>
      </c>
      <c r="AY222" s="30" t="n">
        <v>0</v>
      </c>
      <c r="AZ222" s="30"/>
    </row>
    <row collapsed="false" customFormat="true" customHeight="true" hidden="false" ht="33" outlineLevel="0" r="223" s="73">
      <c r="A223" s="30" t="n">
        <v>238</v>
      </c>
      <c r="B223" s="30" t="s">
        <v>375</v>
      </c>
      <c r="C223" s="30" t="s">
        <v>1009</v>
      </c>
      <c r="D223" s="30" t="s">
        <v>999</v>
      </c>
      <c r="E223" s="30" t="s">
        <v>1010</v>
      </c>
      <c r="F223" s="30" t="s">
        <v>1011</v>
      </c>
      <c r="G223" s="30" t="s">
        <v>1002</v>
      </c>
      <c r="H223" s="30" t="s">
        <v>1003</v>
      </c>
      <c r="I223" s="30" t="n">
        <v>0</v>
      </c>
      <c r="J223" s="30"/>
      <c r="K223" s="30"/>
      <c r="L223" s="30"/>
      <c r="M223" s="30" t="s">
        <v>1004</v>
      </c>
      <c r="N223" s="30" t="s">
        <v>54</v>
      </c>
      <c r="O223" s="30"/>
      <c r="P223" s="30"/>
      <c r="Q223" s="30"/>
      <c r="R223" s="30"/>
      <c r="S223" s="30"/>
      <c r="T223" s="30"/>
      <c r="U223" s="30" t="n">
        <v>123.76</v>
      </c>
      <c r="V223" s="30" t="n">
        <v>125.01</v>
      </c>
      <c r="W223" s="30" t="n">
        <v>15.4</v>
      </c>
      <c r="X223" s="30" t="s">
        <v>1006</v>
      </c>
      <c r="Y223" s="30" t="n">
        <v>15.4</v>
      </c>
      <c r="Z223" s="30" t="s">
        <v>1006</v>
      </c>
      <c r="AA223" s="30" t="n">
        <v>15.4</v>
      </c>
      <c r="AB223" s="30" t="s">
        <v>1006</v>
      </c>
      <c r="AC223" s="30" t="n">
        <v>15.4</v>
      </c>
      <c r="AD223" s="30" t="s">
        <v>1006</v>
      </c>
      <c r="AE223" s="30" t="n">
        <v>4.47</v>
      </c>
      <c r="AF223" s="30" t="s">
        <v>1006</v>
      </c>
      <c r="AG223" s="30" t="n">
        <v>0</v>
      </c>
      <c r="AH223" s="30" t="s">
        <v>1006</v>
      </c>
      <c r="AI223" s="30" t="n">
        <v>0</v>
      </c>
      <c r="AJ223" s="30" t="s">
        <v>1006</v>
      </c>
      <c r="AK223" s="30" t="n">
        <v>0</v>
      </c>
      <c r="AL223" s="30" t="s">
        <v>1006</v>
      </c>
      <c r="AM223" s="30" t="n">
        <v>0</v>
      </c>
      <c r="AN223" s="30" t="s">
        <v>1006</v>
      </c>
      <c r="AO223" s="30" t="n">
        <v>14.47</v>
      </c>
      <c r="AP223" s="30" t="s">
        <v>1006</v>
      </c>
      <c r="AQ223" s="30" t="n">
        <v>14.47</v>
      </c>
      <c r="AR223" s="30" t="s">
        <v>1006</v>
      </c>
      <c r="AS223" s="30" t="n">
        <v>14.47</v>
      </c>
      <c r="AT223" s="30" t="s">
        <v>1006</v>
      </c>
      <c r="AU223" s="30" t="n">
        <v>109.48</v>
      </c>
      <c r="AV223" s="30" t="n">
        <v>0.083</v>
      </c>
      <c r="AW223" s="30" t="s">
        <v>1007</v>
      </c>
      <c r="AX223" s="30" t="s">
        <v>1008</v>
      </c>
      <c r="AY223" s="30" t="n">
        <v>0</v>
      </c>
      <c r="AZ223" s="30"/>
    </row>
    <row collapsed="false" customFormat="true" customHeight="true" hidden="false" ht="33" outlineLevel="0" r="224" s="73">
      <c r="A224" s="30" t="n">
        <v>240</v>
      </c>
      <c r="B224" s="30" t="s">
        <v>378</v>
      </c>
      <c r="C224" s="30" t="s">
        <v>1009</v>
      </c>
      <c r="D224" s="30" t="s">
        <v>999</v>
      </c>
      <c r="E224" s="30" t="s">
        <v>1000</v>
      </c>
      <c r="F224" s="30" t="s">
        <v>1001</v>
      </c>
      <c r="G224" s="30" t="s">
        <v>1002</v>
      </c>
      <c r="H224" s="30" t="s">
        <v>1003</v>
      </c>
      <c r="I224" s="30" t="n">
        <v>1</v>
      </c>
      <c r="J224" s="30"/>
      <c r="K224" s="30" t="n">
        <v>65</v>
      </c>
      <c r="L224" s="30" t="n">
        <v>5.5</v>
      </c>
      <c r="M224" s="30" t="s">
        <v>1004</v>
      </c>
      <c r="N224" s="30" t="s">
        <v>54</v>
      </c>
      <c r="O224" s="30"/>
      <c r="P224" s="30"/>
      <c r="Q224" s="30"/>
      <c r="R224" s="30"/>
      <c r="S224" s="30"/>
      <c r="T224" s="30"/>
      <c r="U224" s="30" t="n">
        <v>466.22</v>
      </c>
      <c r="V224" s="30" t="n">
        <v>532.53</v>
      </c>
      <c r="W224" s="30" t="n">
        <v>79.46</v>
      </c>
      <c r="X224" s="30" t="s">
        <v>1006</v>
      </c>
      <c r="Y224" s="30" t="n">
        <v>79.46</v>
      </c>
      <c r="Z224" s="30" t="s">
        <v>1006</v>
      </c>
      <c r="AA224" s="30" t="n">
        <v>79.46</v>
      </c>
      <c r="AB224" s="30" t="s">
        <v>1006</v>
      </c>
      <c r="AC224" s="30" t="n">
        <v>43.12</v>
      </c>
      <c r="AD224" s="30" t="s">
        <v>1006</v>
      </c>
      <c r="AE224" s="30" t="n">
        <v>23.07</v>
      </c>
      <c r="AF224" s="30" t="s">
        <v>1006</v>
      </c>
      <c r="AG224" s="30" t="n">
        <v>0</v>
      </c>
      <c r="AH224" s="30" t="s">
        <v>1005</v>
      </c>
      <c r="AI224" s="30" t="n">
        <v>0</v>
      </c>
      <c r="AJ224" s="30" t="s">
        <v>1005</v>
      </c>
      <c r="AK224" s="30" t="n">
        <v>0</v>
      </c>
      <c r="AL224" s="30" t="s">
        <v>1005</v>
      </c>
      <c r="AM224" s="30" t="n">
        <v>0</v>
      </c>
      <c r="AN224" s="30" t="s">
        <v>1005</v>
      </c>
      <c r="AO224" s="30" t="n">
        <v>45.71</v>
      </c>
      <c r="AP224" s="30" t="s">
        <v>1005</v>
      </c>
      <c r="AQ224" s="30" t="n">
        <v>46.15</v>
      </c>
      <c r="AR224" s="30" t="s">
        <v>1005</v>
      </c>
      <c r="AS224" s="30" t="n">
        <v>83.48</v>
      </c>
      <c r="AT224" s="30" t="s">
        <v>1005</v>
      </c>
      <c r="AU224" s="30" t="n">
        <v>479.91</v>
      </c>
      <c r="AV224" s="30" t="n">
        <v>0.23727</v>
      </c>
      <c r="AW224" s="30" t="s">
        <v>1007</v>
      </c>
      <c r="AX224" s="30" t="s">
        <v>1008</v>
      </c>
      <c r="AY224" s="30" t="n">
        <v>0</v>
      </c>
      <c r="AZ224" s="30"/>
    </row>
    <row collapsed="false" customFormat="true" customHeight="true" hidden="false" ht="33" outlineLevel="0" r="225" s="73">
      <c r="A225" s="30" t="n">
        <v>241</v>
      </c>
      <c r="B225" s="30" t="s">
        <v>379</v>
      </c>
      <c r="C225" s="30" t="s">
        <v>1009</v>
      </c>
      <c r="D225" s="30" t="s">
        <v>999</v>
      </c>
      <c r="E225" s="30" t="s">
        <v>1000</v>
      </c>
      <c r="F225" s="30" t="s">
        <v>1001</v>
      </c>
      <c r="G225" s="30" t="s">
        <v>1002</v>
      </c>
      <c r="H225" s="30" t="s">
        <v>1003</v>
      </c>
      <c r="I225" s="30" t="n">
        <v>1</v>
      </c>
      <c r="J225" s="30"/>
      <c r="K225" s="30" t="n">
        <v>65</v>
      </c>
      <c r="L225" s="30" t="n">
        <v>5.5</v>
      </c>
      <c r="M225" s="30" t="s">
        <v>1004</v>
      </c>
      <c r="N225" s="30" t="s">
        <v>54</v>
      </c>
      <c r="O225" s="30"/>
      <c r="P225" s="30"/>
      <c r="Q225" s="30"/>
      <c r="R225" s="30"/>
      <c r="S225" s="30"/>
      <c r="T225" s="30"/>
      <c r="U225" s="30" t="n">
        <v>507.94</v>
      </c>
      <c r="V225" s="30" t="n">
        <v>574.52</v>
      </c>
      <c r="W225" s="30" t="n">
        <v>70.41</v>
      </c>
      <c r="X225" s="30" t="s">
        <v>1006</v>
      </c>
      <c r="Y225" s="30" t="n">
        <v>70.41</v>
      </c>
      <c r="Z225" s="30" t="s">
        <v>1006</v>
      </c>
      <c r="AA225" s="30" t="n">
        <v>70.41</v>
      </c>
      <c r="AB225" s="30" t="s">
        <v>1006</v>
      </c>
      <c r="AC225" s="30" t="n">
        <v>70.41</v>
      </c>
      <c r="AD225" s="30" t="s">
        <v>1006</v>
      </c>
      <c r="AE225" s="30" t="n">
        <v>20.44</v>
      </c>
      <c r="AF225" s="30" t="s">
        <v>1006</v>
      </c>
      <c r="AG225" s="30" t="n">
        <v>0</v>
      </c>
      <c r="AH225" s="30" t="s">
        <v>1006</v>
      </c>
      <c r="AI225" s="30" t="n">
        <v>0</v>
      </c>
      <c r="AJ225" s="30" t="s">
        <v>1006</v>
      </c>
      <c r="AK225" s="30" t="n">
        <v>0</v>
      </c>
      <c r="AL225" s="30" t="s">
        <v>1006</v>
      </c>
      <c r="AM225" s="30" t="n">
        <v>0</v>
      </c>
      <c r="AN225" s="30" t="s">
        <v>1006</v>
      </c>
      <c r="AO225" s="30" t="n">
        <v>73.98</v>
      </c>
      <c r="AP225" s="30" t="s">
        <v>1006</v>
      </c>
      <c r="AQ225" s="30" t="n">
        <v>73.98</v>
      </c>
      <c r="AR225" s="30" t="s">
        <v>1006</v>
      </c>
      <c r="AS225" s="30" t="n">
        <v>73.98</v>
      </c>
      <c r="AT225" s="30" t="s">
        <v>1006</v>
      </c>
      <c r="AU225" s="30" t="n">
        <v>524.02</v>
      </c>
      <c r="AV225" s="30" t="n">
        <v>0.2135</v>
      </c>
      <c r="AW225" s="30" t="s">
        <v>1007</v>
      </c>
      <c r="AX225" s="30" t="s">
        <v>1008</v>
      </c>
      <c r="AY225" s="30" t="n">
        <v>0</v>
      </c>
      <c r="AZ225" s="30"/>
    </row>
    <row collapsed="false" customFormat="true" customHeight="true" hidden="false" ht="33" outlineLevel="0" r="226" s="73">
      <c r="A226" s="30" t="n">
        <v>242</v>
      </c>
      <c r="B226" s="30" t="s">
        <v>381</v>
      </c>
      <c r="C226" s="30" t="s">
        <v>1009</v>
      </c>
      <c r="D226" s="30" t="s">
        <v>999</v>
      </c>
      <c r="E226" s="30" t="s">
        <v>1000</v>
      </c>
      <c r="F226" s="30" t="s">
        <v>1001</v>
      </c>
      <c r="G226" s="30" t="s">
        <v>1002</v>
      </c>
      <c r="H226" s="30" t="s">
        <v>1003</v>
      </c>
      <c r="I226" s="30" t="n">
        <v>1</v>
      </c>
      <c r="J226" s="30"/>
      <c r="K226" s="30" t="n">
        <v>65</v>
      </c>
      <c r="L226" s="30" t="n">
        <v>5.5</v>
      </c>
      <c r="M226" s="30" t="s">
        <v>1004</v>
      </c>
      <c r="N226" s="30" t="s">
        <v>54</v>
      </c>
      <c r="O226" s="30"/>
      <c r="P226" s="30"/>
      <c r="Q226" s="30"/>
      <c r="R226" s="30"/>
      <c r="S226" s="30"/>
      <c r="T226" s="30"/>
      <c r="U226" s="30" t="n">
        <v>264.28</v>
      </c>
      <c r="V226" s="30" t="n">
        <v>295.54</v>
      </c>
      <c r="W226" s="30" t="n">
        <v>35.7</v>
      </c>
      <c r="X226" s="30" t="s">
        <v>1005</v>
      </c>
      <c r="Y226" s="30" t="n">
        <v>41.66</v>
      </c>
      <c r="Z226" s="30" t="s">
        <v>1005</v>
      </c>
      <c r="AA226" s="30" t="n">
        <v>35.7</v>
      </c>
      <c r="AB226" s="30" t="s">
        <v>1005</v>
      </c>
      <c r="AC226" s="30" t="n">
        <v>35.7</v>
      </c>
      <c r="AD226" s="30" t="s">
        <v>1005</v>
      </c>
      <c r="AE226" s="30" t="n">
        <v>10.36</v>
      </c>
      <c r="AF226" s="30" t="s">
        <v>1005</v>
      </c>
      <c r="AG226" s="30" t="n">
        <v>0</v>
      </c>
      <c r="AH226" s="30" t="s">
        <v>1005</v>
      </c>
      <c r="AI226" s="30" t="n">
        <v>0</v>
      </c>
      <c r="AJ226" s="30" t="s">
        <v>1005</v>
      </c>
      <c r="AK226" s="30" t="n">
        <v>0</v>
      </c>
      <c r="AL226" s="30" t="s">
        <v>1005</v>
      </c>
      <c r="AM226" s="30" t="n">
        <v>0</v>
      </c>
      <c r="AN226" s="30" t="s">
        <v>1005</v>
      </c>
      <c r="AO226" s="30" t="n">
        <v>38.33</v>
      </c>
      <c r="AP226" s="30" t="s">
        <v>1006</v>
      </c>
      <c r="AQ226" s="30" t="n">
        <v>38.33</v>
      </c>
      <c r="AR226" s="30" t="s">
        <v>1005</v>
      </c>
      <c r="AS226" s="30" t="n">
        <v>29.27</v>
      </c>
      <c r="AT226" s="30" t="s">
        <v>1005</v>
      </c>
      <c r="AU226" s="30" t="n">
        <v>265.05</v>
      </c>
      <c r="AV226" s="30" t="n">
        <v>0.1011</v>
      </c>
      <c r="AW226" s="30" t="s">
        <v>1007</v>
      </c>
      <c r="AX226" s="30" t="s">
        <v>1008</v>
      </c>
      <c r="AY226" s="30" t="n">
        <v>0</v>
      </c>
      <c r="AZ226" s="30"/>
    </row>
    <row collapsed="false" customFormat="true" customHeight="true" hidden="false" ht="33" outlineLevel="0" r="227" s="73">
      <c r="A227" s="30" t="n">
        <v>243</v>
      </c>
      <c r="B227" s="30" t="s">
        <v>382</v>
      </c>
      <c r="C227" s="30" t="s">
        <v>1009</v>
      </c>
      <c r="D227" s="30" t="s">
        <v>999</v>
      </c>
      <c r="E227" s="30" t="s">
        <v>1000</v>
      </c>
      <c r="F227" s="30" t="s">
        <v>1001</v>
      </c>
      <c r="G227" s="30" t="s">
        <v>1002</v>
      </c>
      <c r="H227" s="30" t="s">
        <v>1003</v>
      </c>
      <c r="I227" s="30" t="n">
        <v>1</v>
      </c>
      <c r="J227" s="30"/>
      <c r="K227" s="30" t="n">
        <v>65</v>
      </c>
      <c r="L227" s="30" t="n">
        <v>5.5</v>
      </c>
      <c r="M227" s="30" t="s">
        <v>1004</v>
      </c>
      <c r="N227" s="30" t="s">
        <v>54</v>
      </c>
      <c r="O227" s="30"/>
      <c r="P227" s="30"/>
      <c r="Q227" s="30"/>
      <c r="R227" s="30"/>
      <c r="S227" s="30"/>
      <c r="T227" s="30"/>
      <c r="U227" s="30" t="n">
        <v>297.31</v>
      </c>
      <c r="V227" s="30" t="n">
        <v>293.42</v>
      </c>
      <c r="W227" s="30" t="n">
        <v>32.99</v>
      </c>
      <c r="X227" s="30" t="s">
        <v>1005</v>
      </c>
      <c r="Y227" s="30" t="n">
        <v>39.47</v>
      </c>
      <c r="Z227" s="30" t="s">
        <v>1005</v>
      </c>
      <c r="AA227" s="30" t="n">
        <v>65.16</v>
      </c>
      <c r="AB227" s="30" t="s">
        <v>1005</v>
      </c>
      <c r="AC227" s="30" t="n">
        <v>22.29</v>
      </c>
      <c r="AD227" s="30" t="s">
        <v>1005</v>
      </c>
      <c r="AE227" s="30" t="n">
        <v>9.58</v>
      </c>
      <c r="AF227" s="30" t="s">
        <v>1005</v>
      </c>
      <c r="AG227" s="30" t="n">
        <v>0</v>
      </c>
      <c r="AH227" s="30" t="s">
        <v>1005</v>
      </c>
      <c r="AI227" s="30" t="n">
        <v>0</v>
      </c>
      <c r="AJ227" s="30" t="s">
        <v>1005</v>
      </c>
      <c r="AK227" s="30" t="n">
        <v>0</v>
      </c>
      <c r="AL227" s="30" t="s">
        <v>1005</v>
      </c>
      <c r="AM227" s="30" t="n">
        <v>0</v>
      </c>
      <c r="AN227" s="30" t="s">
        <v>1005</v>
      </c>
      <c r="AO227" s="30" t="n">
        <v>25.14</v>
      </c>
      <c r="AP227" s="30" t="s">
        <v>1005</v>
      </c>
      <c r="AQ227" s="30" t="n">
        <v>27.86</v>
      </c>
      <c r="AR227" s="30" t="s">
        <v>1006</v>
      </c>
      <c r="AS227" s="30" t="n">
        <v>45.45</v>
      </c>
      <c r="AT227" s="30" t="s">
        <v>1005</v>
      </c>
      <c r="AU227" s="30" t="n">
        <v>267.94</v>
      </c>
      <c r="AV227" s="30" t="n">
        <v>0.11442</v>
      </c>
      <c r="AW227" s="30" t="s">
        <v>1007</v>
      </c>
      <c r="AX227" s="30" t="s">
        <v>1008</v>
      </c>
      <c r="AY227" s="30" t="n">
        <v>0</v>
      </c>
      <c r="AZ227" s="30"/>
    </row>
    <row collapsed="false" customFormat="true" customHeight="true" hidden="false" ht="33" outlineLevel="0" r="228" s="73">
      <c r="A228" s="30" t="n">
        <v>244</v>
      </c>
      <c r="B228" s="30" t="s">
        <v>384</v>
      </c>
      <c r="C228" s="30" t="s">
        <v>1009</v>
      </c>
      <c r="D228" s="30" t="s">
        <v>999</v>
      </c>
      <c r="E228" s="30" t="s">
        <v>1000</v>
      </c>
      <c r="F228" s="30" t="s">
        <v>1014</v>
      </c>
      <c r="G228" s="30" t="s">
        <v>1002</v>
      </c>
      <c r="H228" s="30" t="s">
        <v>1003</v>
      </c>
      <c r="I228" s="30" t="n">
        <v>1</v>
      </c>
      <c r="J228" s="30"/>
      <c r="K228" s="30" t="n">
        <v>80</v>
      </c>
      <c r="L228" s="30" t="n">
        <v>7</v>
      </c>
      <c r="M228" s="30" t="s">
        <v>1004</v>
      </c>
      <c r="N228" s="30" t="s">
        <v>54</v>
      </c>
      <c r="O228" s="30"/>
      <c r="P228" s="30"/>
      <c r="Q228" s="30"/>
      <c r="R228" s="30"/>
      <c r="S228" s="30"/>
      <c r="T228" s="30"/>
      <c r="U228" s="30" t="n">
        <v>385.79</v>
      </c>
      <c r="V228" s="30" t="n">
        <v>422.57</v>
      </c>
      <c r="W228" s="30" t="n">
        <v>66.16</v>
      </c>
      <c r="X228" s="30" t="s">
        <v>1005</v>
      </c>
      <c r="Y228" s="30" t="n">
        <v>54.13</v>
      </c>
      <c r="Z228" s="30" t="s">
        <v>1005</v>
      </c>
      <c r="AA228" s="30" t="n">
        <v>59.83</v>
      </c>
      <c r="AB228" s="30" t="s">
        <v>1005</v>
      </c>
      <c r="AC228" s="30" t="n">
        <v>19.7</v>
      </c>
      <c r="AD228" s="30" t="s">
        <v>1005</v>
      </c>
      <c r="AE228" s="30" t="n">
        <v>12.8</v>
      </c>
      <c r="AF228" s="30" t="s">
        <v>1005</v>
      </c>
      <c r="AG228" s="30" t="n">
        <v>0</v>
      </c>
      <c r="AH228" s="30" t="s">
        <v>1005</v>
      </c>
      <c r="AI228" s="30" t="n">
        <v>0</v>
      </c>
      <c r="AJ228" s="30" t="s">
        <v>1005</v>
      </c>
      <c r="AK228" s="30" t="n">
        <v>0</v>
      </c>
      <c r="AL228" s="30" t="s">
        <v>1005</v>
      </c>
      <c r="AM228" s="30" t="n">
        <v>0</v>
      </c>
      <c r="AN228" s="30" t="s">
        <v>1005</v>
      </c>
      <c r="AO228" s="30" t="n">
        <v>27.21</v>
      </c>
      <c r="AP228" s="30" t="s">
        <v>1005</v>
      </c>
      <c r="AQ228" s="30" t="n">
        <v>30.79</v>
      </c>
      <c r="AR228" s="30" t="s">
        <v>1005</v>
      </c>
      <c r="AS228" s="30" t="n">
        <v>40.04</v>
      </c>
      <c r="AT228" s="30" t="s">
        <v>1005</v>
      </c>
      <c r="AU228" s="30" t="n">
        <v>310.66</v>
      </c>
      <c r="AV228" s="30" t="n">
        <v>0.1646</v>
      </c>
      <c r="AW228" s="30" t="s">
        <v>1007</v>
      </c>
      <c r="AX228" s="30" t="s">
        <v>1008</v>
      </c>
      <c r="AY228" s="30" t="n">
        <v>1</v>
      </c>
      <c r="AZ228" s="30"/>
    </row>
    <row collapsed="false" customFormat="true" customHeight="true" hidden="false" ht="33" outlineLevel="0" r="229" s="73">
      <c r="A229" s="30" t="n">
        <v>245</v>
      </c>
      <c r="B229" s="30" t="s">
        <v>385</v>
      </c>
      <c r="C229" s="30" t="s">
        <v>1009</v>
      </c>
      <c r="D229" s="30" t="s">
        <v>999</v>
      </c>
      <c r="E229" s="30" t="s">
        <v>1000</v>
      </c>
      <c r="F229" s="30" t="s">
        <v>1014</v>
      </c>
      <c r="G229" s="30" t="s">
        <v>1002</v>
      </c>
      <c r="H229" s="30" t="s">
        <v>1003</v>
      </c>
      <c r="I229" s="30" t="n">
        <v>1</v>
      </c>
      <c r="J229" s="30"/>
      <c r="K229" s="30" t="n">
        <v>100</v>
      </c>
      <c r="L229" s="30" t="n">
        <v>12</v>
      </c>
      <c r="M229" s="30" t="s">
        <v>1004</v>
      </c>
      <c r="N229" s="30" t="s">
        <v>54</v>
      </c>
      <c r="O229" s="30"/>
      <c r="P229" s="30"/>
      <c r="Q229" s="30"/>
      <c r="R229" s="30"/>
      <c r="S229" s="30"/>
      <c r="T229" s="30"/>
      <c r="U229" s="30" t="n">
        <v>981.74</v>
      </c>
      <c r="V229" s="30" t="n">
        <v>974.82</v>
      </c>
      <c r="W229" s="30" t="n">
        <v>181.71</v>
      </c>
      <c r="X229" s="30" t="s">
        <v>1005</v>
      </c>
      <c r="Y229" s="30" t="n">
        <v>145.66</v>
      </c>
      <c r="Z229" s="30" t="s">
        <v>1005</v>
      </c>
      <c r="AA229" s="30" t="n">
        <v>163.47</v>
      </c>
      <c r="AB229" s="30" t="s">
        <v>1005</v>
      </c>
      <c r="AC229" s="30" t="n">
        <v>57.66</v>
      </c>
      <c r="AD229" s="30" t="s">
        <v>1005</v>
      </c>
      <c r="AE229" s="30" t="n">
        <v>37.23</v>
      </c>
      <c r="AF229" s="30" t="s">
        <v>1005</v>
      </c>
      <c r="AG229" s="30" t="n">
        <v>0</v>
      </c>
      <c r="AH229" s="30" t="s">
        <v>1005</v>
      </c>
      <c r="AI229" s="30" t="n">
        <v>0</v>
      </c>
      <c r="AJ229" s="30" t="s">
        <v>1005</v>
      </c>
      <c r="AK229" s="30" t="n">
        <v>0</v>
      </c>
      <c r="AL229" s="30" t="s">
        <v>1005</v>
      </c>
      <c r="AM229" s="30" t="n">
        <v>0</v>
      </c>
      <c r="AN229" s="30" t="s">
        <v>1005</v>
      </c>
      <c r="AO229" s="30" t="n">
        <v>57.64</v>
      </c>
      <c r="AP229" s="30" t="s">
        <v>1005</v>
      </c>
      <c r="AQ229" s="30" t="n">
        <v>86.61</v>
      </c>
      <c r="AR229" s="30" t="s">
        <v>1005</v>
      </c>
      <c r="AS229" s="30" t="n">
        <v>112.8</v>
      </c>
      <c r="AT229" s="30" t="s">
        <v>1005</v>
      </c>
      <c r="AU229" s="30" t="n">
        <v>842.78</v>
      </c>
      <c r="AV229" s="30" t="n">
        <v>0.32418</v>
      </c>
      <c r="AW229" s="30" t="s">
        <v>1007</v>
      </c>
      <c r="AX229" s="30" t="s">
        <v>1008</v>
      </c>
      <c r="AY229" s="30" t="n">
        <v>1</v>
      </c>
      <c r="AZ229" s="30"/>
    </row>
    <row collapsed="false" customFormat="true" customHeight="true" hidden="false" ht="33" outlineLevel="0" r="230" s="73">
      <c r="A230" s="30" t="n">
        <v>246</v>
      </c>
      <c r="B230" s="30" t="s">
        <v>386</v>
      </c>
      <c r="C230" s="30" t="s">
        <v>1009</v>
      </c>
      <c r="D230" s="30" t="s">
        <v>999</v>
      </c>
      <c r="E230" s="30" t="s">
        <v>1000</v>
      </c>
      <c r="F230" s="30" t="s">
        <v>1014</v>
      </c>
      <c r="G230" s="30" t="s">
        <v>1002</v>
      </c>
      <c r="H230" s="30" t="s">
        <v>1003</v>
      </c>
      <c r="I230" s="30" t="n">
        <v>1</v>
      </c>
      <c r="J230" s="30"/>
      <c r="K230" s="30" t="n">
        <v>100</v>
      </c>
      <c r="L230" s="30" t="n">
        <v>9</v>
      </c>
      <c r="M230" s="30" t="s">
        <v>1004</v>
      </c>
      <c r="N230" s="30" t="s">
        <v>54</v>
      </c>
      <c r="O230" s="30"/>
      <c r="P230" s="30"/>
      <c r="Q230" s="30"/>
      <c r="R230" s="30"/>
      <c r="S230" s="30"/>
      <c r="T230" s="30"/>
      <c r="U230" s="30" t="n">
        <v>885.49</v>
      </c>
      <c r="V230" s="30" t="n">
        <v>903.57</v>
      </c>
      <c r="W230" s="30" t="n">
        <v>180.95</v>
      </c>
      <c r="X230" s="30" t="s">
        <v>1005</v>
      </c>
      <c r="Y230" s="30" t="n">
        <v>143.25</v>
      </c>
      <c r="Z230" s="30" t="s">
        <v>1005</v>
      </c>
      <c r="AA230" s="30" t="n">
        <v>160.22</v>
      </c>
      <c r="AB230" s="30" t="s">
        <v>1005</v>
      </c>
      <c r="AC230" s="30" t="n">
        <v>56.91</v>
      </c>
      <c r="AD230" s="30" t="s">
        <v>1005</v>
      </c>
      <c r="AE230" s="30" t="n">
        <v>36.93</v>
      </c>
      <c r="AF230" s="30" t="s">
        <v>1005</v>
      </c>
      <c r="AG230" s="30" t="n">
        <v>0</v>
      </c>
      <c r="AH230" s="30" t="s">
        <v>1005</v>
      </c>
      <c r="AI230" s="30" t="n">
        <v>0</v>
      </c>
      <c r="AJ230" s="30" t="s">
        <v>1005</v>
      </c>
      <c r="AK230" s="30" t="n">
        <v>0</v>
      </c>
      <c r="AL230" s="30" t="s">
        <v>1005</v>
      </c>
      <c r="AM230" s="30" t="n">
        <v>0</v>
      </c>
      <c r="AN230" s="30" t="s">
        <v>1005</v>
      </c>
      <c r="AO230" s="30" t="n">
        <v>74.12</v>
      </c>
      <c r="AP230" s="30" t="s">
        <v>1005</v>
      </c>
      <c r="AQ230" s="30" t="n">
        <v>87.75</v>
      </c>
      <c r="AR230" s="30" t="s">
        <v>1005</v>
      </c>
      <c r="AS230" s="30" t="n">
        <v>112.26</v>
      </c>
      <c r="AT230" s="30" t="s">
        <v>1005</v>
      </c>
      <c r="AU230" s="30" t="n">
        <v>852.39</v>
      </c>
      <c r="AV230" s="30" t="n">
        <v>0.42254</v>
      </c>
      <c r="AW230" s="30" t="s">
        <v>1007</v>
      </c>
      <c r="AX230" s="30" t="s">
        <v>1008</v>
      </c>
      <c r="AY230" s="30" t="n">
        <v>1</v>
      </c>
      <c r="AZ230" s="30"/>
    </row>
    <row collapsed="false" customFormat="true" customHeight="true" hidden="false" ht="33" outlineLevel="0" r="231" s="73">
      <c r="A231" s="30" t="n">
        <v>247</v>
      </c>
      <c r="B231" s="30" t="s">
        <v>388</v>
      </c>
      <c r="C231" s="30" t="s">
        <v>1009</v>
      </c>
      <c r="D231" s="30" t="s">
        <v>999</v>
      </c>
      <c r="E231" s="30" t="s">
        <v>1000</v>
      </c>
      <c r="F231" s="30" t="s">
        <v>1014</v>
      </c>
      <c r="G231" s="30" t="s">
        <v>1002</v>
      </c>
      <c r="H231" s="30" t="s">
        <v>1003</v>
      </c>
      <c r="I231" s="30" t="n">
        <v>1</v>
      </c>
      <c r="J231" s="30"/>
      <c r="K231" s="30" t="n">
        <v>80</v>
      </c>
      <c r="L231" s="30" t="n">
        <v>7</v>
      </c>
      <c r="M231" s="30" t="s">
        <v>1004</v>
      </c>
      <c r="N231" s="30" t="s">
        <v>54</v>
      </c>
      <c r="O231" s="30"/>
      <c r="P231" s="30"/>
      <c r="Q231" s="30"/>
      <c r="R231" s="30"/>
      <c r="S231" s="30"/>
      <c r="T231" s="30"/>
      <c r="U231" s="30" t="n">
        <v>588.78</v>
      </c>
      <c r="V231" s="30" t="n">
        <v>591.21</v>
      </c>
      <c r="W231" s="30" t="n">
        <v>97.12</v>
      </c>
      <c r="X231" s="30" t="s">
        <v>1005</v>
      </c>
      <c r="Y231" s="30" t="n">
        <v>82.93</v>
      </c>
      <c r="Z231" s="30" t="s">
        <v>1005</v>
      </c>
      <c r="AA231" s="30" t="n">
        <v>100.38</v>
      </c>
      <c r="AB231" s="30" t="s">
        <v>1005</v>
      </c>
      <c r="AC231" s="30" t="n">
        <v>34.02</v>
      </c>
      <c r="AD231" s="30" t="s">
        <v>1005</v>
      </c>
      <c r="AE231" s="30" t="n">
        <v>22.67</v>
      </c>
      <c r="AF231" s="30" t="s">
        <v>1005</v>
      </c>
      <c r="AG231" s="30" t="n">
        <v>0</v>
      </c>
      <c r="AH231" s="30" t="s">
        <v>1005</v>
      </c>
      <c r="AI231" s="30" t="n">
        <v>0</v>
      </c>
      <c r="AJ231" s="30" t="s">
        <v>1005</v>
      </c>
      <c r="AK231" s="30" t="n">
        <v>0</v>
      </c>
      <c r="AL231" s="30" t="s">
        <v>1005</v>
      </c>
      <c r="AM231" s="30" t="n">
        <v>0</v>
      </c>
      <c r="AN231" s="30" t="s">
        <v>1005</v>
      </c>
      <c r="AO231" s="30" t="n">
        <v>48.06</v>
      </c>
      <c r="AP231" s="30" t="s">
        <v>1005</v>
      </c>
      <c r="AQ231" s="30" t="n">
        <v>55.1</v>
      </c>
      <c r="AR231" s="30" t="s">
        <v>1005</v>
      </c>
      <c r="AS231" s="30" t="n">
        <v>70.59</v>
      </c>
      <c r="AT231" s="30" t="s">
        <v>1005</v>
      </c>
      <c r="AU231" s="30" t="n">
        <v>510.87</v>
      </c>
      <c r="AV231" s="30" t="n">
        <v>0.24188</v>
      </c>
      <c r="AW231" s="30" t="s">
        <v>1007</v>
      </c>
      <c r="AX231" s="30" t="s">
        <v>1008</v>
      </c>
      <c r="AY231" s="30" t="n">
        <v>1</v>
      </c>
      <c r="AZ231" s="30"/>
    </row>
    <row collapsed="false" customFormat="true" customHeight="true" hidden="false" ht="33" outlineLevel="0" r="232" s="73">
      <c r="A232" s="30" t="n">
        <v>249</v>
      </c>
      <c r="B232" s="30" t="s">
        <v>393</v>
      </c>
      <c r="C232" s="30" t="s">
        <v>1009</v>
      </c>
      <c r="D232" s="30" t="s">
        <v>999</v>
      </c>
      <c r="E232" s="30" t="s">
        <v>1000</v>
      </c>
      <c r="F232" s="30" t="s">
        <v>1014</v>
      </c>
      <c r="G232" s="30" t="s">
        <v>1002</v>
      </c>
      <c r="H232" s="30" t="s">
        <v>1003</v>
      </c>
      <c r="I232" s="30" t="n">
        <v>0</v>
      </c>
      <c r="J232" s="30"/>
      <c r="K232" s="30" t="n">
        <v>50</v>
      </c>
      <c r="L232" s="30" t="n">
        <v>7</v>
      </c>
      <c r="M232" s="30" t="s">
        <v>1004</v>
      </c>
      <c r="N232" s="30" t="s">
        <v>54</v>
      </c>
      <c r="O232" s="30"/>
      <c r="P232" s="30"/>
      <c r="Q232" s="30"/>
      <c r="R232" s="30"/>
      <c r="S232" s="30"/>
      <c r="T232" s="30"/>
      <c r="U232" s="30" t="n">
        <v>280.91</v>
      </c>
      <c r="V232" s="30" t="n">
        <v>306.94</v>
      </c>
      <c r="W232" s="30"/>
      <c r="X232" s="30" t="s">
        <v>1006</v>
      </c>
      <c r="Y232" s="30"/>
      <c r="Z232" s="30" t="s">
        <v>1006</v>
      </c>
      <c r="AA232" s="30"/>
      <c r="AB232" s="30" t="s">
        <v>1006</v>
      </c>
      <c r="AC232" s="30"/>
      <c r="AD232" s="30" t="s">
        <v>1006</v>
      </c>
      <c r="AE232" s="30"/>
      <c r="AF232" s="30" t="s">
        <v>1006</v>
      </c>
      <c r="AG232" s="30" t="n">
        <v>0</v>
      </c>
      <c r="AH232" s="30" t="s">
        <v>1006</v>
      </c>
      <c r="AI232" s="30" t="n">
        <v>0</v>
      </c>
      <c r="AJ232" s="30" t="s">
        <v>1006</v>
      </c>
      <c r="AK232" s="30" t="n">
        <v>0</v>
      </c>
      <c r="AL232" s="30" t="s">
        <v>1006</v>
      </c>
      <c r="AM232" s="30" t="n">
        <v>7.72</v>
      </c>
      <c r="AN232" s="30" t="s">
        <v>1006</v>
      </c>
      <c r="AO232" s="30" t="n">
        <v>33.1</v>
      </c>
      <c r="AP232" s="30" t="s">
        <v>1006</v>
      </c>
      <c r="AQ232" s="30" t="n">
        <v>33.1</v>
      </c>
      <c r="AR232" s="30" t="s">
        <v>1006</v>
      </c>
      <c r="AS232" s="30" t="n">
        <v>33.1</v>
      </c>
      <c r="AT232" s="30" t="s">
        <v>1006</v>
      </c>
      <c r="AU232" s="30" t="n">
        <v>107.02</v>
      </c>
      <c r="AV232" s="30" t="n">
        <v>0.12742</v>
      </c>
      <c r="AW232" s="30" t="s">
        <v>1007</v>
      </c>
      <c r="AX232" s="30" t="s">
        <v>1008</v>
      </c>
      <c r="AY232" s="30" t="n">
        <v>1</v>
      </c>
      <c r="AZ232" s="30"/>
    </row>
    <row collapsed="false" customFormat="true" customHeight="true" hidden="false" ht="33" outlineLevel="0" r="233" s="73">
      <c r="A233" s="30" t="n">
        <v>251</v>
      </c>
      <c r="B233" s="30" t="s">
        <v>396</v>
      </c>
      <c r="C233" s="30" t="s">
        <v>1009</v>
      </c>
      <c r="D233" s="30" t="s">
        <v>999</v>
      </c>
      <c r="E233" s="30" t="s">
        <v>1000</v>
      </c>
      <c r="F233" s="30" t="s">
        <v>1001</v>
      </c>
      <c r="G233" s="30" t="s">
        <v>1002</v>
      </c>
      <c r="H233" s="30" t="s">
        <v>1003</v>
      </c>
      <c r="I233" s="30" t="n">
        <v>1</v>
      </c>
      <c r="J233" s="30"/>
      <c r="K233" s="30" t="n">
        <v>65</v>
      </c>
      <c r="L233" s="30" t="n">
        <v>5.5</v>
      </c>
      <c r="M233" s="30" t="s">
        <v>1004</v>
      </c>
      <c r="N233" s="30" t="s">
        <v>54</v>
      </c>
      <c r="O233" s="30"/>
      <c r="P233" s="30"/>
      <c r="Q233" s="30"/>
      <c r="R233" s="30"/>
      <c r="S233" s="30"/>
      <c r="T233" s="30"/>
      <c r="U233" s="30" t="n">
        <v>544.68</v>
      </c>
      <c r="V233" s="30" t="n">
        <v>632.52</v>
      </c>
      <c r="W233" s="30" t="n">
        <v>69.64</v>
      </c>
      <c r="X233" s="30" t="s">
        <v>1006</v>
      </c>
      <c r="Y233" s="30" t="n">
        <v>69.64</v>
      </c>
      <c r="Z233" s="30" t="s">
        <v>1006</v>
      </c>
      <c r="AA233" s="30" t="n">
        <v>69.64</v>
      </c>
      <c r="AB233" s="30" t="s">
        <v>1006</v>
      </c>
      <c r="AC233" s="30" t="n">
        <v>51</v>
      </c>
      <c r="AD233" s="30" t="s">
        <v>1006</v>
      </c>
      <c r="AE233" s="30" t="n">
        <v>20.22</v>
      </c>
      <c r="AF233" s="30" t="s">
        <v>1006</v>
      </c>
      <c r="AG233" s="30" t="n">
        <v>0</v>
      </c>
      <c r="AH233" s="30" t="s">
        <v>1006</v>
      </c>
      <c r="AI233" s="30" t="n">
        <v>0</v>
      </c>
      <c r="AJ233" s="30" t="s">
        <v>1006</v>
      </c>
      <c r="AK233" s="30" t="n">
        <v>0</v>
      </c>
      <c r="AL233" s="30" t="s">
        <v>1006</v>
      </c>
      <c r="AM233" s="30" t="n">
        <v>0</v>
      </c>
      <c r="AN233" s="30"/>
      <c r="AO233" s="30" t="n">
        <v>60.08</v>
      </c>
      <c r="AP233" s="30" t="s">
        <v>1005</v>
      </c>
      <c r="AQ233" s="30" t="n">
        <v>61.15</v>
      </c>
      <c r="AR233" s="30" t="s">
        <v>1005</v>
      </c>
      <c r="AS233" s="30" t="n">
        <v>81.06</v>
      </c>
      <c r="AT233" s="30" t="s">
        <v>1005</v>
      </c>
      <c r="AU233" s="30" t="n">
        <v>482.43</v>
      </c>
      <c r="AV233" s="30" t="n">
        <v>0.21174</v>
      </c>
      <c r="AW233" s="30" t="s">
        <v>1007</v>
      </c>
      <c r="AX233" s="30" t="s">
        <v>1008</v>
      </c>
      <c r="AY233" s="30" t="n">
        <v>0</v>
      </c>
      <c r="AZ233" s="30"/>
    </row>
    <row collapsed="false" customFormat="true" customHeight="true" hidden="false" ht="33" outlineLevel="0" r="234" s="73">
      <c r="A234" s="30" t="n">
        <v>256</v>
      </c>
      <c r="B234" s="30" t="s">
        <v>402</v>
      </c>
      <c r="C234" s="30" t="s">
        <v>1009</v>
      </c>
      <c r="D234" s="30" t="s">
        <v>999</v>
      </c>
      <c r="E234" s="30" t="s">
        <v>1000</v>
      </c>
      <c r="F234" s="30" t="s">
        <v>1014</v>
      </c>
      <c r="G234" s="30" t="s">
        <v>1002</v>
      </c>
      <c r="H234" s="30" t="s">
        <v>1003</v>
      </c>
      <c r="I234" s="30" t="n">
        <v>1</v>
      </c>
      <c r="J234" s="30"/>
      <c r="K234" s="30" t="n">
        <v>80</v>
      </c>
      <c r="L234" s="30" t="n">
        <v>7</v>
      </c>
      <c r="M234" s="30" t="s">
        <v>1017</v>
      </c>
      <c r="N234" s="30" t="s">
        <v>54</v>
      </c>
      <c r="O234" s="30"/>
      <c r="P234" s="30"/>
      <c r="Q234" s="30"/>
      <c r="R234" s="30"/>
      <c r="S234" s="30"/>
      <c r="T234" s="30"/>
      <c r="U234" s="30" t="n">
        <v>172.95</v>
      </c>
      <c r="V234" s="30" t="n">
        <v>190.05</v>
      </c>
      <c r="W234" s="30" t="n">
        <v>40.45</v>
      </c>
      <c r="X234" s="30" t="s">
        <v>1005</v>
      </c>
      <c r="Y234" s="30" t="n">
        <v>31.04</v>
      </c>
      <c r="Z234" s="30" t="s">
        <v>1005</v>
      </c>
      <c r="AA234" s="30" t="n">
        <v>37.99</v>
      </c>
      <c r="AB234" s="30" t="s">
        <v>1005</v>
      </c>
      <c r="AC234" s="30" t="n">
        <v>15.7</v>
      </c>
      <c r="AD234" s="30" t="s">
        <v>1005</v>
      </c>
      <c r="AE234" s="30" t="n">
        <v>3.92</v>
      </c>
      <c r="AF234" s="30" t="s">
        <v>1005</v>
      </c>
      <c r="AG234" s="30" t="n">
        <v>0</v>
      </c>
      <c r="AH234" s="30" t="s">
        <v>1005</v>
      </c>
      <c r="AI234" s="30" t="n">
        <v>0</v>
      </c>
      <c r="AJ234" s="30" t="s">
        <v>1005</v>
      </c>
      <c r="AK234" s="30" t="n">
        <v>0</v>
      </c>
      <c r="AL234" s="30" t="s">
        <v>1005</v>
      </c>
      <c r="AM234" s="30" t="n">
        <v>0</v>
      </c>
      <c r="AN234" s="30" t="s">
        <v>1005</v>
      </c>
      <c r="AO234" s="30" t="n">
        <v>16.9</v>
      </c>
      <c r="AP234" s="30" t="s">
        <v>1005</v>
      </c>
      <c r="AQ234" s="30" t="n">
        <v>20.07</v>
      </c>
      <c r="AR234" s="30" t="s">
        <v>1005</v>
      </c>
      <c r="AS234" s="30" t="n">
        <v>25.86</v>
      </c>
      <c r="AT234" s="30" t="s">
        <v>1005</v>
      </c>
      <c r="AU234" s="30" t="n">
        <v>191.93</v>
      </c>
      <c r="AV234" s="30" t="n">
        <v>0.12142</v>
      </c>
      <c r="AW234" s="30" t="s">
        <v>1018</v>
      </c>
      <c r="AX234" s="30" t="s">
        <v>1008</v>
      </c>
      <c r="AY234" s="30" t="n">
        <v>1</v>
      </c>
      <c r="AZ234" s="30"/>
    </row>
    <row collapsed="false" customFormat="true" customHeight="true" hidden="false" ht="33" outlineLevel="0" r="235" s="73">
      <c r="A235" s="30" t="n">
        <v>257</v>
      </c>
      <c r="B235" s="30" t="s">
        <v>403</v>
      </c>
      <c r="C235" s="30" t="s">
        <v>1009</v>
      </c>
      <c r="D235" s="30" t="s">
        <v>999</v>
      </c>
      <c r="E235" s="30" t="s">
        <v>1000</v>
      </c>
      <c r="F235" s="30" t="s">
        <v>1014</v>
      </c>
      <c r="G235" s="30" t="s">
        <v>1002</v>
      </c>
      <c r="H235" s="30" t="s">
        <v>1003</v>
      </c>
      <c r="I235" s="30" t="n">
        <v>1</v>
      </c>
      <c r="J235" s="30"/>
      <c r="K235" s="30" t="n">
        <v>80</v>
      </c>
      <c r="L235" s="30" t="n">
        <v>7</v>
      </c>
      <c r="M235" s="30" t="s">
        <v>1017</v>
      </c>
      <c r="N235" s="30" t="s">
        <v>54</v>
      </c>
      <c r="O235" s="30"/>
      <c r="P235" s="30"/>
      <c r="Q235" s="30"/>
      <c r="R235" s="30"/>
      <c r="S235" s="30"/>
      <c r="T235" s="30"/>
      <c r="U235" s="30" t="n">
        <v>396.87</v>
      </c>
      <c r="V235" s="30" t="n">
        <v>421.01</v>
      </c>
      <c r="W235" s="30" t="n">
        <v>83.51</v>
      </c>
      <c r="X235" s="30" t="s">
        <v>1005</v>
      </c>
      <c r="Y235" s="30" t="n">
        <v>57.83</v>
      </c>
      <c r="Z235" s="30" t="s">
        <v>1005</v>
      </c>
      <c r="AA235" s="30" t="n">
        <v>84.56</v>
      </c>
      <c r="AB235" s="30" t="s">
        <v>1005</v>
      </c>
      <c r="AC235" s="30" t="n">
        <v>38.86</v>
      </c>
      <c r="AD235" s="30" t="s">
        <v>1005</v>
      </c>
      <c r="AE235" s="30" t="n">
        <v>10.49</v>
      </c>
      <c r="AF235" s="30" t="s">
        <v>1005</v>
      </c>
      <c r="AG235" s="30" t="n">
        <v>0</v>
      </c>
      <c r="AH235" s="30" t="s">
        <v>1005</v>
      </c>
      <c r="AI235" s="30" t="n">
        <v>0</v>
      </c>
      <c r="AJ235" s="30" t="s">
        <v>1005</v>
      </c>
      <c r="AK235" s="30" t="n">
        <v>0</v>
      </c>
      <c r="AL235" s="30" t="s">
        <v>1005</v>
      </c>
      <c r="AM235" s="30" t="n">
        <v>0</v>
      </c>
      <c r="AN235" s="30" t="s">
        <v>1005</v>
      </c>
      <c r="AO235" s="30" t="n">
        <v>32.4</v>
      </c>
      <c r="AP235" s="30" t="s">
        <v>1005</v>
      </c>
      <c r="AQ235" s="30" t="n">
        <v>34.65</v>
      </c>
      <c r="AR235" s="30" t="s">
        <v>1005</v>
      </c>
      <c r="AS235" s="30" t="n">
        <v>44.49</v>
      </c>
      <c r="AT235" s="30" t="s">
        <v>1005</v>
      </c>
      <c r="AU235" s="30" t="n">
        <v>386.79</v>
      </c>
      <c r="AV235" s="30" t="n">
        <v>0.27394</v>
      </c>
      <c r="AW235" s="30" t="s">
        <v>1018</v>
      </c>
      <c r="AX235" s="30" t="s">
        <v>1008</v>
      </c>
      <c r="AY235" s="30" t="n">
        <v>1</v>
      </c>
      <c r="AZ235" s="30"/>
    </row>
    <row collapsed="false" customFormat="true" customHeight="true" hidden="false" ht="33" outlineLevel="0" r="236" s="73">
      <c r="A236" s="30" t="n">
        <v>258</v>
      </c>
      <c r="B236" s="30" t="s">
        <v>404</v>
      </c>
      <c r="C236" s="30" t="s">
        <v>1009</v>
      </c>
      <c r="D236" s="30" t="s">
        <v>999</v>
      </c>
      <c r="E236" s="30" t="s">
        <v>1000</v>
      </c>
      <c r="F236" s="30" t="s">
        <v>1014</v>
      </c>
      <c r="G236" s="30" t="s">
        <v>1002</v>
      </c>
      <c r="H236" s="30" t="s">
        <v>1003</v>
      </c>
      <c r="I236" s="30" t="n">
        <v>1</v>
      </c>
      <c r="J236" s="30"/>
      <c r="K236" s="30" t="n">
        <v>80</v>
      </c>
      <c r="L236" s="30" t="n">
        <v>7</v>
      </c>
      <c r="M236" s="30" t="s">
        <v>1017</v>
      </c>
      <c r="N236" s="30" t="s">
        <v>54</v>
      </c>
      <c r="O236" s="30"/>
      <c r="P236" s="30"/>
      <c r="Q236" s="30"/>
      <c r="R236" s="30"/>
      <c r="S236" s="30"/>
      <c r="T236" s="30"/>
      <c r="U236" s="30" t="n">
        <v>554.97</v>
      </c>
      <c r="V236" s="30" t="n">
        <v>572.81</v>
      </c>
      <c r="W236" s="30" t="n">
        <v>122.6</v>
      </c>
      <c r="X236" s="30" t="s">
        <v>1005</v>
      </c>
      <c r="Y236" s="30" t="n">
        <v>74.59</v>
      </c>
      <c r="Z236" s="30" t="s">
        <v>1005</v>
      </c>
      <c r="AA236" s="30" t="n">
        <v>93.46</v>
      </c>
      <c r="AB236" s="30" t="s">
        <v>1005</v>
      </c>
      <c r="AC236" s="30" t="n">
        <v>60.42</v>
      </c>
      <c r="AD236" s="30" t="s">
        <v>1005</v>
      </c>
      <c r="AE236" s="30" t="n">
        <v>14.95</v>
      </c>
      <c r="AF236" s="30" t="s">
        <v>1005</v>
      </c>
      <c r="AG236" s="30" t="n">
        <v>0</v>
      </c>
      <c r="AH236" s="30" t="s">
        <v>1006</v>
      </c>
      <c r="AI236" s="30" t="n">
        <v>0</v>
      </c>
      <c r="AJ236" s="30" t="s">
        <v>1006</v>
      </c>
      <c r="AK236" s="30" t="n">
        <v>0</v>
      </c>
      <c r="AL236" s="30" t="s">
        <v>1006</v>
      </c>
      <c r="AM236" s="30" t="n">
        <v>0</v>
      </c>
      <c r="AN236" s="30" t="s">
        <v>1005</v>
      </c>
      <c r="AO236" s="30" t="n">
        <v>44.49</v>
      </c>
      <c r="AP236" s="30" t="s">
        <v>1005</v>
      </c>
      <c r="AQ236" s="30" t="n">
        <v>43.99</v>
      </c>
      <c r="AR236" s="30" t="s">
        <v>1005</v>
      </c>
      <c r="AS236" s="30" t="n">
        <v>55</v>
      </c>
      <c r="AT236" s="30" t="s">
        <v>1005</v>
      </c>
      <c r="AU236" s="30" t="n">
        <v>509.5</v>
      </c>
      <c r="AV236" s="30" t="n">
        <v>0.26189</v>
      </c>
      <c r="AW236" s="30" t="s">
        <v>1018</v>
      </c>
      <c r="AX236" s="30" t="s">
        <v>1008</v>
      </c>
      <c r="AY236" s="30" t="n">
        <v>1</v>
      </c>
      <c r="AZ236" s="30"/>
    </row>
    <row collapsed="false" customFormat="true" customHeight="true" hidden="false" ht="33" outlineLevel="0" r="237" s="73">
      <c r="A237" s="30" t="n">
        <v>259</v>
      </c>
      <c r="B237" s="30" t="s">
        <v>405</v>
      </c>
      <c r="C237" s="30" t="s">
        <v>1009</v>
      </c>
      <c r="D237" s="30" t="s">
        <v>999</v>
      </c>
      <c r="E237" s="30" t="s">
        <v>1000</v>
      </c>
      <c r="F237" s="30" t="s">
        <v>1014</v>
      </c>
      <c r="G237" s="30" t="s">
        <v>1002</v>
      </c>
      <c r="H237" s="30" t="s">
        <v>1003</v>
      </c>
      <c r="I237" s="30" t="n">
        <v>1</v>
      </c>
      <c r="J237" s="30"/>
      <c r="K237" s="30" t="n">
        <v>80</v>
      </c>
      <c r="L237" s="30" t="n">
        <v>7</v>
      </c>
      <c r="M237" s="30" t="s">
        <v>1017</v>
      </c>
      <c r="N237" s="30" t="s">
        <v>54</v>
      </c>
      <c r="O237" s="30"/>
      <c r="P237" s="30"/>
      <c r="Q237" s="30"/>
      <c r="R237" s="30"/>
      <c r="S237" s="30"/>
      <c r="T237" s="30"/>
      <c r="U237" s="30" t="n">
        <v>268.99</v>
      </c>
      <c r="V237" s="30" t="n">
        <v>264.14</v>
      </c>
      <c r="W237" s="30" t="n">
        <v>54.32</v>
      </c>
      <c r="X237" s="30" t="s">
        <v>1005</v>
      </c>
      <c r="Y237" s="30" t="n">
        <v>32.27</v>
      </c>
      <c r="Z237" s="30" t="s">
        <v>1005</v>
      </c>
      <c r="AA237" s="30" t="n">
        <v>45.36</v>
      </c>
      <c r="AB237" s="30" t="s">
        <v>1005</v>
      </c>
      <c r="AC237" s="30" t="n">
        <v>20.55</v>
      </c>
      <c r="AD237" s="30" t="s">
        <v>1005</v>
      </c>
      <c r="AE237" s="30" t="n">
        <v>5.67</v>
      </c>
      <c r="AF237" s="30" t="s">
        <v>1005</v>
      </c>
      <c r="AG237" s="30" t="n">
        <v>0</v>
      </c>
      <c r="AH237" s="30" t="s">
        <v>1006</v>
      </c>
      <c r="AI237" s="30" t="n">
        <v>0</v>
      </c>
      <c r="AJ237" s="30" t="s">
        <v>1006</v>
      </c>
      <c r="AK237" s="30" t="n">
        <v>0</v>
      </c>
      <c r="AL237" s="30" t="s">
        <v>1006</v>
      </c>
      <c r="AM237" s="30" t="n">
        <v>0</v>
      </c>
      <c r="AN237" s="30" t="s">
        <v>1005</v>
      </c>
      <c r="AO237" s="30" t="n">
        <v>10.46</v>
      </c>
      <c r="AP237" s="30" t="s">
        <v>1005</v>
      </c>
      <c r="AQ237" s="30" t="n">
        <v>19.96</v>
      </c>
      <c r="AR237" s="30" t="s">
        <v>1005</v>
      </c>
      <c r="AS237" s="30" t="n">
        <v>25.9</v>
      </c>
      <c r="AT237" s="30" t="s">
        <v>1005</v>
      </c>
      <c r="AU237" s="30" t="n">
        <v>214.49</v>
      </c>
      <c r="AV237" s="30" t="n">
        <v>0.1465</v>
      </c>
      <c r="AW237" s="30" t="s">
        <v>1018</v>
      </c>
      <c r="AX237" s="30" t="s">
        <v>1008</v>
      </c>
      <c r="AY237" s="30" t="n">
        <v>1</v>
      </c>
      <c r="AZ237" s="30"/>
    </row>
    <row collapsed="false" customFormat="true" customHeight="true" hidden="false" ht="33" outlineLevel="0" r="238" s="73">
      <c r="A238" s="30" t="n">
        <v>260</v>
      </c>
      <c r="B238" s="30" t="s">
        <v>406</v>
      </c>
      <c r="C238" s="30" t="s">
        <v>1009</v>
      </c>
      <c r="D238" s="30" t="s">
        <v>999</v>
      </c>
      <c r="E238" s="30" t="s">
        <v>1000</v>
      </c>
      <c r="F238" s="30" t="s">
        <v>1014</v>
      </c>
      <c r="G238" s="30" t="s">
        <v>1002</v>
      </c>
      <c r="H238" s="30" t="s">
        <v>1003</v>
      </c>
      <c r="I238" s="30" t="n">
        <v>1</v>
      </c>
      <c r="J238" s="30"/>
      <c r="K238" s="30" t="n">
        <v>80</v>
      </c>
      <c r="L238" s="30" t="n">
        <v>7</v>
      </c>
      <c r="M238" s="30" t="s">
        <v>1017</v>
      </c>
      <c r="N238" s="30" t="s">
        <v>54</v>
      </c>
      <c r="O238" s="30"/>
      <c r="P238" s="30"/>
      <c r="Q238" s="30"/>
      <c r="R238" s="30"/>
      <c r="S238" s="30"/>
      <c r="T238" s="30"/>
      <c r="U238" s="30" t="n">
        <v>497.88</v>
      </c>
      <c r="V238" s="30" t="n">
        <v>514.91</v>
      </c>
      <c r="W238" s="30" t="n">
        <v>114.38</v>
      </c>
      <c r="X238" s="30" t="s">
        <v>1005</v>
      </c>
      <c r="Y238" s="30" t="n">
        <v>74.44</v>
      </c>
      <c r="Z238" s="30" t="s">
        <v>1005</v>
      </c>
      <c r="AA238" s="30" t="n">
        <v>67.67</v>
      </c>
      <c r="AB238" s="30" t="s">
        <v>1005</v>
      </c>
      <c r="AC238" s="30" t="n">
        <v>49.07</v>
      </c>
      <c r="AD238" s="30" t="s">
        <v>1005</v>
      </c>
      <c r="AE238" s="30" t="n">
        <v>15.8</v>
      </c>
      <c r="AF238" s="30" t="s">
        <v>1005</v>
      </c>
      <c r="AG238" s="30" t="n">
        <v>0</v>
      </c>
      <c r="AH238" s="30" t="s">
        <v>1006</v>
      </c>
      <c r="AI238" s="30" t="n">
        <v>0</v>
      </c>
      <c r="AJ238" s="30" t="s">
        <v>1006</v>
      </c>
      <c r="AK238" s="30" t="n">
        <v>0</v>
      </c>
      <c r="AL238" s="30" t="s">
        <v>1006</v>
      </c>
      <c r="AM238" s="30" t="n">
        <v>0</v>
      </c>
      <c r="AN238" s="30" t="s">
        <v>1005</v>
      </c>
      <c r="AO238" s="30" t="n">
        <v>35.62</v>
      </c>
      <c r="AP238" s="30" t="s">
        <v>1005</v>
      </c>
      <c r="AQ238" s="30" t="n">
        <v>45.08</v>
      </c>
      <c r="AR238" s="30" t="s">
        <v>1005</v>
      </c>
      <c r="AS238" s="30" t="n">
        <v>58.03</v>
      </c>
      <c r="AT238" s="30" t="s">
        <v>1005</v>
      </c>
      <c r="AU238" s="30" t="n">
        <v>460.09</v>
      </c>
      <c r="AV238" s="30" t="n">
        <v>0.24584</v>
      </c>
      <c r="AW238" s="30" t="s">
        <v>1018</v>
      </c>
      <c r="AX238" s="30" t="s">
        <v>1008</v>
      </c>
      <c r="AY238" s="30" t="n">
        <v>1</v>
      </c>
      <c r="AZ238" s="30"/>
    </row>
    <row collapsed="false" customFormat="true" customHeight="true" hidden="false" ht="33" outlineLevel="0" r="239" s="73">
      <c r="A239" s="30" t="n">
        <v>261</v>
      </c>
      <c r="B239" s="30" t="s">
        <v>409</v>
      </c>
      <c r="C239" s="30" t="s">
        <v>1009</v>
      </c>
      <c r="D239" s="30" t="s">
        <v>999</v>
      </c>
      <c r="E239" s="30" t="s">
        <v>1010</v>
      </c>
      <c r="F239" s="30" t="s">
        <v>1011</v>
      </c>
      <c r="G239" s="30" t="s">
        <v>1002</v>
      </c>
      <c r="H239" s="30" t="s">
        <v>1003</v>
      </c>
      <c r="I239" s="30" t="n">
        <v>1</v>
      </c>
      <c r="J239" s="30"/>
      <c r="K239" s="30" t="n">
        <v>57</v>
      </c>
      <c r="L239" s="30"/>
      <c r="M239" s="30" t="s">
        <v>1012</v>
      </c>
      <c r="N239" s="30" t="s">
        <v>54</v>
      </c>
      <c r="O239" s="30"/>
      <c r="P239" s="30"/>
      <c r="Q239" s="30"/>
      <c r="R239" s="30"/>
      <c r="S239" s="30"/>
      <c r="T239" s="30"/>
      <c r="U239" s="30" t="n">
        <v>318.22</v>
      </c>
      <c r="V239" s="30" t="n">
        <v>404.82</v>
      </c>
      <c r="W239" s="30" t="n">
        <v>47.31</v>
      </c>
      <c r="X239" s="30" t="s">
        <v>1006</v>
      </c>
      <c r="Y239" s="30" t="n">
        <v>42.68</v>
      </c>
      <c r="Z239" s="30" t="s">
        <v>1005</v>
      </c>
      <c r="AA239" s="30" t="n">
        <v>54.94</v>
      </c>
      <c r="AB239" s="30" t="s">
        <v>1005</v>
      </c>
      <c r="AC239" s="30" t="n">
        <v>47.31</v>
      </c>
      <c r="AD239" s="30" t="s">
        <v>1006</v>
      </c>
      <c r="AE239" s="30" t="n">
        <v>8.69</v>
      </c>
      <c r="AF239" s="30" t="s">
        <v>1005</v>
      </c>
      <c r="AG239" s="30" t="n">
        <v>0</v>
      </c>
      <c r="AH239" s="30" t="s">
        <v>1005</v>
      </c>
      <c r="AI239" s="30" t="n">
        <v>0</v>
      </c>
      <c r="AJ239" s="30" t="s">
        <v>1005</v>
      </c>
      <c r="AK239" s="30" t="n">
        <v>0</v>
      </c>
      <c r="AL239" s="30" t="s">
        <v>1005</v>
      </c>
      <c r="AM239" s="30" t="n">
        <v>0</v>
      </c>
      <c r="AN239" s="30" t="s">
        <v>1005</v>
      </c>
      <c r="AO239" s="30" t="n">
        <v>42.33</v>
      </c>
      <c r="AP239" s="30" t="s">
        <v>1005</v>
      </c>
      <c r="AQ239" s="30" t="n">
        <v>39.65</v>
      </c>
      <c r="AR239" s="30" t="s">
        <v>1005</v>
      </c>
      <c r="AS239" s="30" t="n">
        <v>52.12</v>
      </c>
      <c r="AT239" s="30" t="s">
        <v>1005</v>
      </c>
      <c r="AU239" s="30" t="n">
        <v>335.03</v>
      </c>
      <c r="AV239" s="30" t="n">
        <v>0.193</v>
      </c>
      <c r="AW239" s="30" t="s">
        <v>1013</v>
      </c>
      <c r="AX239" s="30" t="s">
        <v>1008</v>
      </c>
      <c r="AY239" s="30" t="n">
        <v>1</v>
      </c>
      <c r="AZ239" s="30"/>
    </row>
    <row collapsed="false" customFormat="true" customHeight="true" hidden="false" ht="33" outlineLevel="0" r="240" s="73">
      <c r="A240" s="30" t="n">
        <v>262</v>
      </c>
      <c r="B240" s="30" t="s">
        <v>411</v>
      </c>
      <c r="C240" s="30" t="s">
        <v>1009</v>
      </c>
      <c r="D240" s="30" t="s">
        <v>999</v>
      </c>
      <c r="E240" s="30" t="s">
        <v>1010</v>
      </c>
      <c r="F240" s="30" t="s">
        <v>1011</v>
      </c>
      <c r="G240" s="30" t="s">
        <v>1002</v>
      </c>
      <c r="H240" s="30" t="s">
        <v>1003</v>
      </c>
      <c r="I240" s="30" t="n">
        <v>1</v>
      </c>
      <c r="J240" s="30"/>
      <c r="K240" s="30" t="n">
        <v>76</v>
      </c>
      <c r="L240" s="30"/>
      <c r="M240" s="30" t="s">
        <v>1012</v>
      </c>
      <c r="N240" s="30" t="s">
        <v>54</v>
      </c>
      <c r="O240" s="30"/>
      <c r="P240" s="30"/>
      <c r="Q240" s="30"/>
      <c r="R240" s="30"/>
      <c r="S240" s="30"/>
      <c r="T240" s="30"/>
      <c r="U240" s="30" t="n">
        <v>134.86</v>
      </c>
      <c r="V240" s="30" t="n">
        <v>192.44</v>
      </c>
      <c r="W240" s="30" t="n">
        <v>33.33</v>
      </c>
      <c r="X240" s="30" t="s">
        <v>1005</v>
      </c>
      <c r="Y240" s="30" t="n">
        <v>26.46</v>
      </c>
      <c r="Z240" s="30" t="s">
        <v>1005</v>
      </c>
      <c r="AA240" s="30" t="n">
        <v>29.59</v>
      </c>
      <c r="AB240" s="30" t="s">
        <v>1005</v>
      </c>
      <c r="AC240" s="30" t="n">
        <v>13.93</v>
      </c>
      <c r="AD240" s="30" t="s">
        <v>1005</v>
      </c>
      <c r="AE240" s="30" t="n">
        <v>7.32</v>
      </c>
      <c r="AF240" s="30" t="s">
        <v>1005</v>
      </c>
      <c r="AG240" s="30" t="n">
        <v>0</v>
      </c>
      <c r="AH240" s="30" t="s">
        <v>1005</v>
      </c>
      <c r="AI240" s="30" t="n">
        <v>0</v>
      </c>
      <c r="AJ240" s="30" t="s">
        <v>1005</v>
      </c>
      <c r="AK240" s="30" t="n">
        <v>0</v>
      </c>
      <c r="AL240" s="30" t="s">
        <v>1005</v>
      </c>
      <c r="AM240" s="30" t="n">
        <v>0</v>
      </c>
      <c r="AN240" s="30" t="s">
        <v>1005</v>
      </c>
      <c r="AO240" s="30" t="n">
        <v>14.55</v>
      </c>
      <c r="AP240" s="30" t="s">
        <v>1005</v>
      </c>
      <c r="AQ240" s="30" t="n">
        <v>12.81</v>
      </c>
      <c r="AR240" s="30" t="s">
        <v>1005</v>
      </c>
      <c r="AS240" s="30" t="n">
        <v>17.31</v>
      </c>
      <c r="AT240" s="30" t="s">
        <v>1005</v>
      </c>
      <c r="AU240" s="30" t="n">
        <v>155.3</v>
      </c>
      <c r="AV240" s="30" t="n">
        <v>0.07966</v>
      </c>
      <c r="AW240" s="30" t="s">
        <v>1013</v>
      </c>
      <c r="AX240" s="30" t="s">
        <v>1008</v>
      </c>
      <c r="AY240" s="30" t="n">
        <v>1</v>
      </c>
      <c r="AZ240" s="30"/>
    </row>
    <row collapsed="false" customFormat="true" customHeight="true" hidden="false" ht="33" outlineLevel="0" r="241" s="73">
      <c r="A241" s="30" t="n">
        <v>263</v>
      </c>
      <c r="B241" s="30" t="s">
        <v>412</v>
      </c>
      <c r="C241" s="30" t="s">
        <v>1009</v>
      </c>
      <c r="D241" s="30" t="s">
        <v>999</v>
      </c>
      <c r="E241" s="30" t="s">
        <v>1010</v>
      </c>
      <c r="F241" s="30" t="s">
        <v>1011</v>
      </c>
      <c r="G241" s="30" t="s">
        <v>1002</v>
      </c>
      <c r="H241" s="30" t="s">
        <v>1003</v>
      </c>
      <c r="I241" s="30" t="n">
        <v>1</v>
      </c>
      <c r="J241" s="30"/>
      <c r="K241" s="30" t="n">
        <v>57</v>
      </c>
      <c r="L241" s="30"/>
      <c r="M241" s="30" t="s">
        <v>1012</v>
      </c>
      <c r="N241" s="30" t="s">
        <v>54</v>
      </c>
      <c r="O241" s="30"/>
      <c r="P241" s="30"/>
      <c r="Q241" s="30"/>
      <c r="R241" s="30"/>
      <c r="S241" s="30"/>
      <c r="T241" s="30"/>
      <c r="U241" s="30" t="n">
        <v>288.04</v>
      </c>
      <c r="V241" s="30" t="n">
        <v>349.86</v>
      </c>
      <c r="W241" s="30" t="n">
        <v>69.07</v>
      </c>
      <c r="X241" s="30" t="s">
        <v>1005</v>
      </c>
      <c r="Y241" s="30" t="n">
        <v>45.54</v>
      </c>
      <c r="Z241" s="30" t="s">
        <v>1005</v>
      </c>
      <c r="AA241" s="30" t="n">
        <v>31.76</v>
      </c>
      <c r="AB241" s="30" t="s">
        <v>1006</v>
      </c>
      <c r="AC241" s="30" t="n">
        <v>31.76</v>
      </c>
      <c r="AD241" s="30" t="s">
        <v>1006</v>
      </c>
      <c r="AE241" s="30" t="n">
        <v>9.22</v>
      </c>
      <c r="AF241" s="30" t="s">
        <v>1006</v>
      </c>
      <c r="AG241" s="30" t="n">
        <v>0</v>
      </c>
      <c r="AH241" s="30" t="s">
        <v>1006</v>
      </c>
      <c r="AI241" s="30" t="n">
        <v>0</v>
      </c>
      <c r="AJ241" s="30" t="s">
        <v>1006</v>
      </c>
      <c r="AK241" s="30" t="n">
        <v>0</v>
      </c>
      <c r="AL241" s="30" t="s">
        <v>1006</v>
      </c>
      <c r="AM241" s="30" t="n">
        <v>0</v>
      </c>
      <c r="AN241" s="30" t="s">
        <v>1006</v>
      </c>
      <c r="AO241" s="30" t="n">
        <v>21.23</v>
      </c>
      <c r="AP241" s="30" t="s">
        <v>1005</v>
      </c>
      <c r="AQ241" s="30" t="n">
        <v>25.38</v>
      </c>
      <c r="AR241" s="30" t="s">
        <v>1005</v>
      </c>
      <c r="AS241" s="30" t="n">
        <v>36.67</v>
      </c>
      <c r="AT241" s="30" t="s">
        <v>1005</v>
      </c>
      <c r="AU241" s="30" t="n">
        <v>270.63</v>
      </c>
      <c r="AV241" s="30" t="n">
        <v>0.16843</v>
      </c>
      <c r="AW241" s="30" t="s">
        <v>1013</v>
      </c>
      <c r="AX241" s="30" t="s">
        <v>1008</v>
      </c>
      <c r="AY241" s="30" t="n">
        <v>1</v>
      </c>
      <c r="AZ241" s="30"/>
    </row>
    <row collapsed="false" customFormat="true" customHeight="true" hidden="false" ht="33" outlineLevel="0" r="242" s="73">
      <c r="A242" s="30" t="n">
        <v>264</v>
      </c>
      <c r="B242" s="30" t="s">
        <v>413</v>
      </c>
      <c r="C242" s="30" t="s">
        <v>1009</v>
      </c>
      <c r="D242" s="30" t="s">
        <v>999</v>
      </c>
      <c r="E242" s="30" t="s">
        <v>1010</v>
      </c>
      <c r="F242" s="30" t="s">
        <v>1011</v>
      </c>
      <c r="G242" s="30" t="s">
        <v>1002</v>
      </c>
      <c r="H242" s="30" t="s">
        <v>1003</v>
      </c>
      <c r="I242" s="30" t="n">
        <v>1</v>
      </c>
      <c r="J242" s="30"/>
      <c r="K242" s="30" t="n">
        <v>57</v>
      </c>
      <c r="L242" s="30"/>
      <c r="M242" s="30" t="s">
        <v>1012</v>
      </c>
      <c r="N242" s="30" t="s">
        <v>54</v>
      </c>
      <c r="O242" s="30"/>
      <c r="P242" s="30"/>
      <c r="Q242" s="30"/>
      <c r="R242" s="30"/>
      <c r="S242" s="30"/>
      <c r="T242" s="30"/>
      <c r="U242" s="30" t="n">
        <v>248.74</v>
      </c>
      <c r="V242" s="30" t="n">
        <v>379.85</v>
      </c>
      <c r="W242" s="30" t="n">
        <v>70.18</v>
      </c>
      <c r="X242" s="30" t="s">
        <v>1005</v>
      </c>
      <c r="Y242" s="30" t="n">
        <v>49.01</v>
      </c>
      <c r="Z242" s="30" t="s">
        <v>1005</v>
      </c>
      <c r="AA242" s="30" t="n">
        <v>67.19</v>
      </c>
      <c r="AB242" s="30" t="s">
        <v>1005</v>
      </c>
      <c r="AC242" s="30" t="n">
        <v>21.27</v>
      </c>
      <c r="AD242" s="30" t="s">
        <v>1005</v>
      </c>
      <c r="AE242" s="30" t="n">
        <v>12.54</v>
      </c>
      <c r="AF242" s="30" t="s">
        <v>1005</v>
      </c>
      <c r="AG242" s="30" t="n">
        <v>0</v>
      </c>
      <c r="AH242" s="30" t="s">
        <v>1005</v>
      </c>
      <c r="AI242" s="30" t="n">
        <v>0</v>
      </c>
      <c r="AJ242" s="30" t="s">
        <v>1005</v>
      </c>
      <c r="AK242" s="30" t="n">
        <v>0</v>
      </c>
      <c r="AL242" s="30" t="s">
        <v>1005</v>
      </c>
      <c r="AM242" s="30" t="n">
        <v>0</v>
      </c>
      <c r="AN242" s="30" t="s">
        <v>1005</v>
      </c>
      <c r="AO242" s="30" t="n">
        <v>28.81</v>
      </c>
      <c r="AP242" s="30" t="s">
        <v>1005</v>
      </c>
      <c r="AQ242" s="30" t="n">
        <v>27.03</v>
      </c>
      <c r="AR242" s="30" t="s">
        <v>1005</v>
      </c>
      <c r="AS242" s="30" t="n">
        <v>38.76</v>
      </c>
      <c r="AT242" s="30" t="s">
        <v>1005</v>
      </c>
      <c r="AU242" s="30" t="n">
        <v>314.79</v>
      </c>
      <c r="AV242" s="30" t="n">
        <v>0.147</v>
      </c>
      <c r="AW242" s="30" t="s">
        <v>1013</v>
      </c>
      <c r="AX242" s="30" t="s">
        <v>1008</v>
      </c>
      <c r="AY242" s="30" t="n">
        <v>1</v>
      </c>
      <c r="AZ242" s="30"/>
    </row>
    <row collapsed="false" customFormat="true" customHeight="true" hidden="false" ht="33" outlineLevel="0" r="243" s="73">
      <c r="A243" s="30" t="n">
        <v>265</v>
      </c>
      <c r="B243" s="30" t="s">
        <v>414</v>
      </c>
      <c r="C243" s="30" t="s">
        <v>1009</v>
      </c>
      <c r="D243" s="30" t="s">
        <v>999</v>
      </c>
      <c r="E243" s="30" t="s">
        <v>1010</v>
      </c>
      <c r="F243" s="30" t="s">
        <v>1011</v>
      </c>
      <c r="G243" s="30" t="s">
        <v>1002</v>
      </c>
      <c r="H243" s="30" t="s">
        <v>1003</v>
      </c>
      <c r="I243" s="30" t="n">
        <v>0</v>
      </c>
      <c r="J243" s="30"/>
      <c r="K243" s="30" t="n">
        <v>57</v>
      </c>
      <c r="L243" s="30"/>
      <c r="M243" s="30" t="s">
        <v>1012</v>
      </c>
      <c r="N243" s="30" t="s">
        <v>54</v>
      </c>
      <c r="O243" s="30"/>
      <c r="P243" s="30"/>
      <c r="Q243" s="30"/>
      <c r="R243" s="30"/>
      <c r="S243" s="30"/>
      <c r="T243" s="30"/>
      <c r="U243" s="30" t="n">
        <v>254.06</v>
      </c>
      <c r="V243" s="30" t="n">
        <v>235.44</v>
      </c>
      <c r="W243" s="30" t="n">
        <v>34.91</v>
      </c>
      <c r="X243" s="30" t="s">
        <v>1006</v>
      </c>
      <c r="Y243" s="30" t="n">
        <v>34.91</v>
      </c>
      <c r="Z243" s="30" t="s">
        <v>1006</v>
      </c>
      <c r="AA243" s="30" t="n">
        <v>34.91</v>
      </c>
      <c r="AB243" s="30" t="s">
        <v>1006</v>
      </c>
      <c r="AC243" s="30" t="n">
        <v>34.91</v>
      </c>
      <c r="AD243" s="30" t="s">
        <v>1006</v>
      </c>
      <c r="AE243" s="30" t="n">
        <v>10.13</v>
      </c>
      <c r="AF243" s="30" t="s">
        <v>1006</v>
      </c>
      <c r="AG243" s="30" t="n">
        <v>0</v>
      </c>
      <c r="AH243" s="30" t="s">
        <v>1006</v>
      </c>
      <c r="AI243" s="30" t="n">
        <v>0</v>
      </c>
      <c r="AJ243" s="30" t="s">
        <v>1006</v>
      </c>
      <c r="AK243" s="30" t="n">
        <v>0</v>
      </c>
      <c r="AL243" s="30" t="s">
        <v>1006</v>
      </c>
      <c r="AM243" s="30" t="n">
        <v>0</v>
      </c>
      <c r="AN243" s="30" t="s">
        <v>1006</v>
      </c>
      <c r="AO243" s="30" t="n">
        <v>33.56</v>
      </c>
      <c r="AP243" s="30" t="s">
        <v>1006</v>
      </c>
      <c r="AQ243" s="30" t="n">
        <v>33.56</v>
      </c>
      <c r="AR243" s="30" t="s">
        <v>1006</v>
      </c>
      <c r="AS243" s="30" t="n">
        <v>33.56</v>
      </c>
      <c r="AT243" s="30" t="s">
        <v>1005</v>
      </c>
      <c r="AU243" s="30" t="n">
        <v>250.45</v>
      </c>
      <c r="AV243" s="30" t="n">
        <v>0.14786</v>
      </c>
      <c r="AW243" s="30" t="s">
        <v>1013</v>
      </c>
      <c r="AX243" s="30" t="s">
        <v>1008</v>
      </c>
      <c r="AY243" s="30" t="n">
        <v>1</v>
      </c>
      <c r="AZ243" s="30"/>
    </row>
    <row collapsed="false" customFormat="true" customHeight="true" hidden="false" ht="33" outlineLevel="0" r="244" s="73">
      <c r="A244" s="30" t="n">
        <v>267</v>
      </c>
      <c r="B244" s="30" t="s">
        <v>417</v>
      </c>
      <c r="C244" s="30" t="s">
        <v>1009</v>
      </c>
      <c r="D244" s="30" t="s">
        <v>999</v>
      </c>
      <c r="E244" s="30" t="s">
        <v>1010</v>
      </c>
      <c r="F244" s="30" t="s">
        <v>1011</v>
      </c>
      <c r="G244" s="30" t="s">
        <v>1002</v>
      </c>
      <c r="H244" s="30" t="s">
        <v>1003</v>
      </c>
      <c r="I244" s="30" t="n">
        <v>1</v>
      </c>
      <c r="J244" s="30"/>
      <c r="K244" s="30" t="n">
        <v>57</v>
      </c>
      <c r="L244" s="30"/>
      <c r="M244" s="30" t="s">
        <v>1012</v>
      </c>
      <c r="N244" s="30" t="s">
        <v>54</v>
      </c>
      <c r="O244" s="30"/>
      <c r="P244" s="30"/>
      <c r="Q244" s="30"/>
      <c r="R244" s="30"/>
      <c r="S244" s="30"/>
      <c r="T244" s="30"/>
      <c r="U244" s="30" t="n">
        <v>169.03</v>
      </c>
      <c r="V244" s="30" t="n">
        <v>203.91</v>
      </c>
      <c r="W244" s="30" t="n">
        <v>40.86</v>
      </c>
      <c r="X244" s="30" t="s">
        <v>1005</v>
      </c>
      <c r="Y244" s="30" t="n">
        <v>28.2</v>
      </c>
      <c r="Z244" s="30" t="s">
        <v>1006</v>
      </c>
      <c r="AA244" s="30" t="n">
        <v>41.6</v>
      </c>
      <c r="AB244" s="30" t="s">
        <v>1005</v>
      </c>
      <c r="AC244" s="30" t="n">
        <v>15.89</v>
      </c>
      <c r="AD244" s="30" t="s">
        <v>1005</v>
      </c>
      <c r="AE244" s="30" t="n">
        <v>6.44</v>
      </c>
      <c r="AF244" s="30" t="s">
        <v>1005</v>
      </c>
      <c r="AG244" s="30" t="n">
        <v>0</v>
      </c>
      <c r="AH244" s="30" t="s">
        <v>1005</v>
      </c>
      <c r="AI244" s="30" t="n">
        <v>0</v>
      </c>
      <c r="AJ244" s="30" t="s">
        <v>1005</v>
      </c>
      <c r="AK244" s="30" t="n">
        <v>0</v>
      </c>
      <c r="AL244" s="30" t="s">
        <v>1005</v>
      </c>
      <c r="AM244" s="30" t="n">
        <v>0</v>
      </c>
      <c r="AN244" s="30" t="s">
        <v>1005</v>
      </c>
      <c r="AO244" s="30" t="n">
        <v>21.8</v>
      </c>
      <c r="AP244" s="30" t="s">
        <v>1006</v>
      </c>
      <c r="AQ244" s="30" t="n">
        <v>21.08</v>
      </c>
      <c r="AR244" s="30" t="s">
        <v>1006</v>
      </c>
      <c r="AS244" s="30" t="n">
        <v>19.93</v>
      </c>
      <c r="AT244" s="30" t="s">
        <v>1005</v>
      </c>
      <c r="AU244" s="30" t="n">
        <v>195.8</v>
      </c>
      <c r="AV244" s="30" t="n">
        <v>0.09752</v>
      </c>
      <c r="AW244" s="30" t="s">
        <v>1013</v>
      </c>
      <c r="AX244" s="30" t="s">
        <v>1008</v>
      </c>
      <c r="AY244" s="30" t="n">
        <v>1</v>
      </c>
      <c r="AZ244" s="30"/>
    </row>
    <row collapsed="false" customFormat="true" customHeight="true" hidden="false" ht="33" outlineLevel="0" r="245" s="73">
      <c r="A245" s="30" t="n">
        <v>268</v>
      </c>
      <c r="B245" s="30" t="s">
        <v>418</v>
      </c>
      <c r="C245" s="30" t="s">
        <v>1009</v>
      </c>
      <c r="D245" s="30" t="s">
        <v>999</v>
      </c>
      <c r="E245" s="30" t="s">
        <v>1010</v>
      </c>
      <c r="F245" s="30" t="s">
        <v>1001</v>
      </c>
      <c r="G245" s="30" t="s">
        <v>1002</v>
      </c>
      <c r="H245" s="30" t="s">
        <v>1003</v>
      </c>
      <c r="I245" s="30" t="n">
        <v>1</v>
      </c>
      <c r="J245" s="30"/>
      <c r="K245" s="30" t="n">
        <v>65</v>
      </c>
      <c r="L245" s="30" t="n">
        <v>5.5</v>
      </c>
      <c r="M245" s="30" t="s">
        <v>1004</v>
      </c>
      <c r="N245" s="30" t="s">
        <v>54</v>
      </c>
      <c r="O245" s="30"/>
      <c r="P245" s="30"/>
      <c r="Q245" s="30"/>
      <c r="R245" s="30"/>
      <c r="S245" s="30"/>
      <c r="T245" s="30"/>
      <c r="U245" s="30" t="n">
        <v>1001.41</v>
      </c>
      <c r="V245" s="30" t="n">
        <v>1097.1</v>
      </c>
      <c r="W245" s="30" t="n">
        <v>124</v>
      </c>
      <c r="X245" s="30" t="s">
        <v>1005</v>
      </c>
      <c r="Y245" s="30" t="n">
        <v>124</v>
      </c>
      <c r="Z245" s="30" t="s">
        <v>1005</v>
      </c>
      <c r="AA245" s="30" t="n">
        <v>124</v>
      </c>
      <c r="AB245" s="30" t="s">
        <v>1005</v>
      </c>
      <c r="AC245" s="30" t="n">
        <v>124</v>
      </c>
      <c r="AD245" s="30" t="s">
        <v>1005</v>
      </c>
      <c r="AE245" s="30" t="n">
        <v>36</v>
      </c>
      <c r="AF245" s="30" t="s">
        <v>1005</v>
      </c>
      <c r="AG245" s="30" t="n">
        <v>0</v>
      </c>
      <c r="AH245" s="30" t="s">
        <v>1006</v>
      </c>
      <c r="AI245" s="30" t="n">
        <v>0</v>
      </c>
      <c r="AJ245" s="30" t="s">
        <v>1006</v>
      </c>
      <c r="AK245" s="30" t="n">
        <v>0</v>
      </c>
      <c r="AL245" s="30" t="s">
        <v>1006</v>
      </c>
      <c r="AM245" s="30" t="n">
        <v>0</v>
      </c>
      <c r="AN245" s="30"/>
      <c r="AO245" s="30" t="n">
        <v>94.44</v>
      </c>
      <c r="AP245" s="30" t="s">
        <v>1005</v>
      </c>
      <c r="AQ245" s="30" t="n">
        <v>86.17</v>
      </c>
      <c r="AR245" s="30" t="s">
        <v>1005</v>
      </c>
      <c r="AS245" s="30" t="n">
        <v>120.01</v>
      </c>
      <c r="AT245" s="30" t="s">
        <v>1005</v>
      </c>
      <c r="AU245" s="30" t="n">
        <v>832.62</v>
      </c>
      <c r="AV245" s="30" t="n">
        <v>0.52971</v>
      </c>
      <c r="AW245" s="30" t="s">
        <v>1007</v>
      </c>
      <c r="AX245" s="30" t="s">
        <v>1008</v>
      </c>
      <c r="AY245" s="30" t="n">
        <v>0</v>
      </c>
      <c r="AZ245" s="30"/>
    </row>
    <row collapsed="false" customFormat="true" customHeight="true" hidden="false" ht="33" outlineLevel="0" r="246" s="73">
      <c r="A246" s="30" t="n">
        <v>269</v>
      </c>
      <c r="B246" s="30" t="s">
        <v>420</v>
      </c>
      <c r="C246" s="30" t="s">
        <v>1009</v>
      </c>
      <c r="D246" s="30" t="s">
        <v>999</v>
      </c>
      <c r="E246" s="30" t="s">
        <v>1010</v>
      </c>
      <c r="F246" s="30" t="s">
        <v>1001</v>
      </c>
      <c r="G246" s="30" t="s">
        <v>1002</v>
      </c>
      <c r="H246" s="30" t="s">
        <v>1003</v>
      </c>
      <c r="I246" s="30" t="n">
        <v>1</v>
      </c>
      <c r="J246" s="30"/>
      <c r="K246" s="30" t="n">
        <v>80</v>
      </c>
      <c r="L246" s="30" t="n">
        <v>5.5</v>
      </c>
      <c r="M246" s="30" t="s">
        <v>1015</v>
      </c>
      <c r="N246" s="30" t="s">
        <v>54</v>
      </c>
      <c r="O246" s="30"/>
      <c r="P246" s="30"/>
      <c r="Q246" s="30"/>
      <c r="R246" s="30"/>
      <c r="S246" s="30"/>
      <c r="T246" s="30"/>
      <c r="U246" s="30" t="n">
        <v>125.8</v>
      </c>
      <c r="V246" s="30" t="n">
        <v>247.65</v>
      </c>
      <c r="W246" s="30" t="n">
        <v>34.06</v>
      </c>
      <c r="X246" s="30" t="s">
        <v>1006</v>
      </c>
      <c r="Y246" s="30" t="n">
        <v>34.06</v>
      </c>
      <c r="Z246" s="30" t="s">
        <v>1006</v>
      </c>
      <c r="AA246" s="30" t="n">
        <v>34.06</v>
      </c>
      <c r="AB246" s="30" t="s">
        <v>1006</v>
      </c>
      <c r="AC246" s="30" t="n">
        <v>34.06</v>
      </c>
      <c r="AD246" s="30" t="s">
        <v>1006</v>
      </c>
      <c r="AE246" s="30" t="n">
        <v>9.89</v>
      </c>
      <c r="AF246" s="30" t="s">
        <v>1006</v>
      </c>
      <c r="AG246" s="30" t="n">
        <v>0</v>
      </c>
      <c r="AH246" s="30" t="s">
        <v>1006</v>
      </c>
      <c r="AI246" s="30" t="n">
        <v>0</v>
      </c>
      <c r="AJ246" s="30" t="s">
        <v>1006</v>
      </c>
      <c r="AK246" s="30" t="n">
        <v>0</v>
      </c>
      <c r="AL246" s="30" t="s">
        <v>1006</v>
      </c>
      <c r="AM246" s="30" t="n">
        <v>8.35</v>
      </c>
      <c r="AN246" s="30" t="s">
        <v>1006</v>
      </c>
      <c r="AO246" s="30" t="n">
        <v>35.79</v>
      </c>
      <c r="AP246" s="30" t="s">
        <v>1006</v>
      </c>
      <c r="AQ246" s="30" t="n">
        <v>35.79</v>
      </c>
      <c r="AR246" s="30" t="s">
        <v>1006</v>
      </c>
      <c r="AS246" s="30" t="n">
        <v>35.79</v>
      </c>
      <c r="AT246" s="30" t="s">
        <v>1006</v>
      </c>
      <c r="AU246" s="30" t="n">
        <v>261.85</v>
      </c>
      <c r="AV246" s="30" t="n">
        <v>0.06822</v>
      </c>
      <c r="AW246" s="30" t="s">
        <v>1016</v>
      </c>
      <c r="AX246" s="30" t="s">
        <v>1008</v>
      </c>
      <c r="AY246" s="30" t="n">
        <v>1</v>
      </c>
      <c r="AZ246" s="30"/>
    </row>
    <row collapsed="false" customFormat="true" customHeight="true" hidden="false" ht="33" outlineLevel="0" r="247" s="73">
      <c r="A247" s="30" t="n">
        <v>270</v>
      </c>
      <c r="B247" s="30" t="s">
        <v>422</v>
      </c>
      <c r="C247" s="30" t="s">
        <v>1009</v>
      </c>
      <c r="D247" s="30" t="s">
        <v>999</v>
      </c>
      <c r="E247" s="30" t="s">
        <v>1000</v>
      </c>
      <c r="F247" s="30" t="s">
        <v>1001</v>
      </c>
      <c r="G247" s="30" t="s">
        <v>1002</v>
      </c>
      <c r="H247" s="30" t="s">
        <v>1003</v>
      </c>
      <c r="I247" s="30" t="n">
        <v>1</v>
      </c>
      <c r="J247" s="30"/>
      <c r="K247" s="30" t="n">
        <v>50</v>
      </c>
      <c r="L247" s="30" t="n">
        <v>5.5</v>
      </c>
      <c r="M247" s="30" t="s">
        <v>1004</v>
      </c>
      <c r="N247" s="30" t="s">
        <v>54</v>
      </c>
      <c r="O247" s="30"/>
      <c r="P247" s="30"/>
      <c r="Q247" s="30"/>
      <c r="R247" s="30"/>
      <c r="S247" s="30"/>
      <c r="T247" s="30"/>
      <c r="U247" s="30" t="n">
        <v>140.48</v>
      </c>
      <c r="V247" s="30" t="n">
        <v>137.67</v>
      </c>
      <c r="W247" s="30" t="n">
        <v>24.01</v>
      </c>
      <c r="X247" s="30" t="s">
        <v>1005</v>
      </c>
      <c r="Y247" s="30" t="n">
        <v>19.96</v>
      </c>
      <c r="Z247" s="30" t="s">
        <v>1005</v>
      </c>
      <c r="AA247" s="30" t="n">
        <v>26.93</v>
      </c>
      <c r="AB247" s="30" t="s">
        <v>1005</v>
      </c>
      <c r="AC247" s="30" t="n">
        <v>10.82</v>
      </c>
      <c r="AD247" s="30" t="s">
        <v>1005</v>
      </c>
      <c r="AE247" s="30" t="n">
        <v>4.03</v>
      </c>
      <c r="AF247" s="30" t="s">
        <v>1005</v>
      </c>
      <c r="AG247" s="30" t="n">
        <v>0</v>
      </c>
      <c r="AH247" s="30" t="s">
        <v>1006</v>
      </c>
      <c r="AI247" s="30" t="n">
        <v>0</v>
      </c>
      <c r="AJ247" s="30" t="s">
        <v>1006</v>
      </c>
      <c r="AK247" s="30" t="n">
        <v>0</v>
      </c>
      <c r="AL247" s="30" t="s">
        <v>1006</v>
      </c>
      <c r="AM247" s="30" t="n">
        <v>0</v>
      </c>
      <c r="AN247" s="30"/>
      <c r="AO247" s="30" t="n">
        <v>10.69</v>
      </c>
      <c r="AP247" s="30" t="s">
        <v>1005</v>
      </c>
      <c r="AQ247" s="30" t="n">
        <v>11.79</v>
      </c>
      <c r="AR247" s="30" t="s">
        <v>1005</v>
      </c>
      <c r="AS247" s="30" t="n">
        <v>15.15</v>
      </c>
      <c r="AT247" s="30" t="s">
        <v>1005</v>
      </c>
      <c r="AU247" s="30" t="n">
        <v>123.38</v>
      </c>
      <c r="AV247" s="30" t="n">
        <v>0.06022</v>
      </c>
      <c r="AW247" s="30" t="s">
        <v>1007</v>
      </c>
      <c r="AX247" s="30" t="s">
        <v>1008</v>
      </c>
      <c r="AY247" s="30" t="n">
        <v>0</v>
      </c>
      <c r="AZ247" s="30"/>
    </row>
    <row collapsed="false" customFormat="true" customHeight="true" hidden="false" ht="33" outlineLevel="0" r="248" s="73">
      <c r="A248" s="30" t="n">
        <v>271</v>
      </c>
      <c r="B248" s="30" t="s">
        <v>423</v>
      </c>
      <c r="C248" s="30" t="s">
        <v>1009</v>
      </c>
      <c r="D248" s="30" t="s">
        <v>999</v>
      </c>
      <c r="E248" s="30" t="s">
        <v>1000</v>
      </c>
      <c r="F248" s="30" t="s">
        <v>1001</v>
      </c>
      <c r="G248" s="30" t="s">
        <v>1002</v>
      </c>
      <c r="H248" s="30" t="s">
        <v>1003</v>
      </c>
      <c r="I248" s="30" t="n">
        <v>1</v>
      </c>
      <c r="J248" s="30"/>
      <c r="K248" s="30" t="n">
        <v>50</v>
      </c>
      <c r="L248" s="30" t="n">
        <v>5.5</v>
      </c>
      <c r="M248" s="30" t="s">
        <v>1004</v>
      </c>
      <c r="N248" s="30" t="s">
        <v>54</v>
      </c>
      <c r="O248" s="30"/>
      <c r="P248" s="30"/>
      <c r="Q248" s="30"/>
      <c r="R248" s="30"/>
      <c r="S248" s="30"/>
      <c r="T248" s="30"/>
      <c r="U248" s="30" t="n">
        <v>164.48</v>
      </c>
      <c r="V248" s="30" t="n">
        <v>154.52</v>
      </c>
      <c r="W248" s="30" t="n">
        <v>25.94</v>
      </c>
      <c r="X248" s="30" t="s">
        <v>1005</v>
      </c>
      <c r="Y248" s="30" t="n">
        <v>22.69</v>
      </c>
      <c r="Z248" s="30" t="s">
        <v>1005</v>
      </c>
      <c r="AA248" s="30" t="n">
        <v>28.64</v>
      </c>
      <c r="AB248" s="30" t="s">
        <v>1005</v>
      </c>
      <c r="AC248" s="30" t="n">
        <v>12.78</v>
      </c>
      <c r="AD248" s="30" t="s">
        <v>1005</v>
      </c>
      <c r="AE248" s="30" t="n">
        <v>4.02</v>
      </c>
      <c r="AF248" s="30" t="s">
        <v>1005</v>
      </c>
      <c r="AG248" s="30" t="n">
        <v>0</v>
      </c>
      <c r="AH248" s="30" t="s">
        <v>1006</v>
      </c>
      <c r="AI248" s="30" t="n">
        <v>0</v>
      </c>
      <c r="AJ248" s="30" t="s">
        <v>1006</v>
      </c>
      <c r="AK248" s="30" t="n">
        <v>0</v>
      </c>
      <c r="AL248" s="30" t="s">
        <v>1006</v>
      </c>
      <c r="AM248" s="30" t="n">
        <v>0</v>
      </c>
      <c r="AN248" s="30"/>
      <c r="AO248" s="30" t="n">
        <v>9.53</v>
      </c>
      <c r="AP248" s="30" t="s">
        <v>1005</v>
      </c>
      <c r="AQ248" s="30" t="n">
        <v>10.52</v>
      </c>
      <c r="AR248" s="30" t="s">
        <v>1005</v>
      </c>
      <c r="AS248" s="30" t="n">
        <v>15.78</v>
      </c>
      <c r="AT248" s="30" t="s">
        <v>1005</v>
      </c>
      <c r="AU248" s="30" t="n">
        <v>129.9</v>
      </c>
      <c r="AV248" s="30" t="n">
        <v>0.06122</v>
      </c>
      <c r="AW248" s="30" t="s">
        <v>1007</v>
      </c>
      <c r="AX248" s="30" t="s">
        <v>1008</v>
      </c>
      <c r="AY248" s="30" t="n">
        <v>0</v>
      </c>
      <c r="AZ248" s="30"/>
    </row>
    <row collapsed="false" customFormat="true" customHeight="true" hidden="false" ht="33" outlineLevel="0" r="249" s="73">
      <c r="A249" s="30" t="n">
        <v>274</v>
      </c>
      <c r="B249" s="30" t="s">
        <v>428</v>
      </c>
      <c r="C249" s="30" t="s">
        <v>1009</v>
      </c>
      <c r="D249" s="30" t="s">
        <v>999</v>
      </c>
      <c r="E249" s="30" t="s">
        <v>1010</v>
      </c>
      <c r="F249" s="30" t="s">
        <v>1001</v>
      </c>
      <c r="G249" s="30" t="s">
        <v>1002</v>
      </c>
      <c r="H249" s="30" t="s">
        <v>1003</v>
      </c>
      <c r="I249" s="30" t="n">
        <v>1</v>
      </c>
      <c r="J249" s="30"/>
      <c r="K249" s="30" t="n">
        <v>80</v>
      </c>
      <c r="L249" s="30" t="n">
        <v>5.5</v>
      </c>
      <c r="M249" s="30" t="s">
        <v>1004</v>
      </c>
      <c r="N249" s="30" t="s">
        <v>54</v>
      </c>
      <c r="O249" s="30"/>
      <c r="P249" s="30"/>
      <c r="Q249" s="30"/>
      <c r="R249" s="30"/>
      <c r="S249" s="30"/>
      <c r="T249" s="30"/>
      <c r="U249" s="30" t="n">
        <v>484.85</v>
      </c>
      <c r="V249" s="30" t="n">
        <v>564.2</v>
      </c>
      <c r="W249" s="30" t="n">
        <v>102.47</v>
      </c>
      <c r="X249" s="30" t="s">
        <v>1005</v>
      </c>
      <c r="Y249" s="30" t="n">
        <v>74.41</v>
      </c>
      <c r="Z249" s="30" t="s">
        <v>1005</v>
      </c>
      <c r="AA249" s="30" t="n">
        <v>101.85</v>
      </c>
      <c r="AB249" s="30" t="s">
        <v>1005</v>
      </c>
      <c r="AC249" s="30" t="n">
        <v>37.63</v>
      </c>
      <c r="AD249" s="30" t="s">
        <v>1005</v>
      </c>
      <c r="AE249" s="30" t="n">
        <v>20.46</v>
      </c>
      <c r="AF249" s="30" t="s">
        <v>1005</v>
      </c>
      <c r="AG249" s="30" t="n">
        <v>0</v>
      </c>
      <c r="AH249" s="30" t="s">
        <v>1006</v>
      </c>
      <c r="AI249" s="30" t="n">
        <v>0</v>
      </c>
      <c r="AJ249" s="30" t="s">
        <v>1006</v>
      </c>
      <c r="AK249" s="30" t="n">
        <v>0</v>
      </c>
      <c r="AL249" s="30" t="s">
        <v>1006</v>
      </c>
      <c r="AM249" s="30" t="n">
        <v>0</v>
      </c>
      <c r="AN249" s="30"/>
      <c r="AO249" s="30" t="n">
        <v>39.39</v>
      </c>
      <c r="AP249" s="30" t="s">
        <v>1005</v>
      </c>
      <c r="AQ249" s="30" t="n">
        <v>38.77</v>
      </c>
      <c r="AR249" s="30" t="s">
        <v>1005</v>
      </c>
      <c r="AS249" s="30" t="n">
        <v>60.44</v>
      </c>
      <c r="AT249" s="30" t="s">
        <v>1005</v>
      </c>
      <c r="AU249" s="30" t="n">
        <v>475.42</v>
      </c>
      <c r="AV249" s="30" t="n">
        <v>0.39022</v>
      </c>
      <c r="AW249" s="30" t="s">
        <v>1007</v>
      </c>
      <c r="AX249" s="30" t="s">
        <v>1008</v>
      </c>
      <c r="AY249" s="30" t="n">
        <v>0</v>
      </c>
      <c r="AZ249" s="30"/>
    </row>
    <row collapsed="false" customFormat="true" customHeight="true" hidden="false" ht="33" outlineLevel="0" r="250" s="73">
      <c r="A250" s="30" t="n">
        <v>275</v>
      </c>
      <c r="B250" s="30" t="s">
        <v>429</v>
      </c>
      <c r="C250" s="30" t="s">
        <v>1009</v>
      </c>
      <c r="D250" s="30" t="s">
        <v>999</v>
      </c>
      <c r="E250" s="30" t="s">
        <v>1010</v>
      </c>
      <c r="F250" s="30" t="s">
        <v>1001</v>
      </c>
      <c r="G250" s="30" t="s">
        <v>1002</v>
      </c>
      <c r="H250" s="30" t="s">
        <v>1003</v>
      </c>
      <c r="I250" s="30" t="n">
        <v>1</v>
      </c>
      <c r="J250" s="30"/>
      <c r="K250" s="30" t="n">
        <v>80</v>
      </c>
      <c r="L250" s="30" t="n">
        <v>5.5</v>
      </c>
      <c r="M250" s="30" t="s">
        <v>1004</v>
      </c>
      <c r="N250" s="30" t="s">
        <v>54</v>
      </c>
      <c r="O250" s="30"/>
      <c r="P250" s="30"/>
      <c r="Q250" s="30"/>
      <c r="R250" s="30"/>
      <c r="S250" s="30"/>
      <c r="T250" s="30"/>
      <c r="U250" s="30" t="n">
        <v>488.09</v>
      </c>
      <c r="V250" s="30" t="n">
        <v>795.52</v>
      </c>
      <c r="W250" s="30" t="n">
        <v>70.78</v>
      </c>
      <c r="X250" s="30" t="s">
        <v>1006</v>
      </c>
      <c r="Y250" s="30" t="n">
        <v>70.78</v>
      </c>
      <c r="Z250" s="30" t="s">
        <v>1006</v>
      </c>
      <c r="AA250" s="30" t="n">
        <v>70.78</v>
      </c>
      <c r="AB250" s="30" t="s">
        <v>1006</v>
      </c>
      <c r="AC250" s="30" t="n">
        <v>70.78</v>
      </c>
      <c r="AD250" s="30" t="s">
        <v>1006</v>
      </c>
      <c r="AE250" s="30" t="n">
        <v>20.55</v>
      </c>
      <c r="AF250" s="30" t="s">
        <v>1006</v>
      </c>
      <c r="AG250" s="30" t="n">
        <v>0</v>
      </c>
      <c r="AH250" s="30" t="s">
        <v>1006</v>
      </c>
      <c r="AI250" s="30" t="n">
        <v>0</v>
      </c>
      <c r="AJ250" s="30" t="s">
        <v>1006</v>
      </c>
      <c r="AK250" s="30" t="n">
        <v>0</v>
      </c>
      <c r="AL250" s="30" t="s">
        <v>1006</v>
      </c>
      <c r="AM250" s="30" t="n">
        <v>17.32</v>
      </c>
      <c r="AN250" s="30" t="s">
        <v>1006</v>
      </c>
      <c r="AO250" s="30" t="n">
        <v>74.23</v>
      </c>
      <c r="AP250" s="30" t="s">
        <v>1005</v>
      </c>
      <c r="AQ250" s="30" t="n">
        <v>29.08</v>
      </c>
      <c r="AR250" s="30" t="s">
        <v>1005</v>
      </c>
      <c r="AS250" s="30" t="n">
        <v>67.65</v>
      </c>
      <c r="AT250" s="30" t="s">
        <v>1005</v>
      </c>
      <c r="AU250" s="30" t="n">
        <v>491.95</v>
      </c>
      <c r="AV250" s="30" t="n">
        <v>0.39022</v>
      </c>
      <c r="AW250" s="30" t="s">
        <v>1007</v>
      </c>
      <c r="AX250" s="30" t="s">
        <v>1008</v>
      </c>
      <c r="AY250" s="30" t="n">
        <v>0</v>
      </c>
      <c r="AZ250" s="30"/>
    </row>
    <row collapsed="false" customFormat="true" customHeight="true" hidden="false" ht="33" outlineLevel="0" r="251" s="73">
      <c r="A251" s="30" t="n">
        <v>276</v>
      </c>
      <c r="B251" s="30" t="s">
        <v>431</v>
      </c>
      <c r="C251" s="30" t="s">
        <v>1009</v>
      </c>
      <c r="D251" s="30" t="s">
        <v>999</v>
      </c>
      <c r="E251" s="30" t="s">
        <v>1010</v>
      </c>
      <c r="F251" s="30" t="s">
        <v>1011</v>
      </c>
      <c r="G251" s="30" t="s">
        <v>1002</v>
      </c>
      <c r="H251" s="30" t="s">
        <v>1003</v>
      </c>
      <c r="I251" s="30" t="n">
        <v>0</v>
      </c>
      <c r="J251" s="30"/>
      <c r="K251" s="30" t="n">
        <v>57</v>
      </c>
      <c r="L251" s="30"/>
      <c r="M251" s="30" t="s">
        <v>1012</v>
      </c>
      <c r="N251" s="30" t="s">
        <v>54</v>
      </c>
      <c r="O251" s="30"/>
      <c r="P251" s="30"/>
      <c r="Q251" s="30"/>
      <c r="R251" s="30"/>
      <c r="S251" s="30"/>
      <c r="T251" s="30"/>
      <c r="U251" s="30" t="n">
        <v>213.84</v>
      </c>
      <c r="V251" s="30" t="n">
        <v>258.83</v>
      </c>
      <c r="W251" s="30" t="n">
        <v>32.87</v>
      </c>
      <c r="X251" s="30" t="s">
        <v>1006</v>
      </c>
      <c r="Y251" s="30" t="n">
        <v>32.87</v>
      </c>
      <c r="Z251" s="30" t="s">
        <v>1006</v>
      </c>
      <c r="AA251" s="30" t="n">
        <v>32.87</v>
      </c>
      <c r="AB251" s="30" t="s">
        <v>1006</v>
      </c>
      <c r="AC251" s="30" t="n">
        <v>32.87</v>
      </c>
      <c r="AD251" s="30" t="s">
        <v>1006</v>
      </c>
      <c r="AE251" s="30" t="n">
        <v>9.54</v>
      </c>
      <c r="AF251" s="30" t="s">
        <v>1006</v>
      </c>
      <c r="AG251" s="30" t="n">
        <v>0</v>
      </c>
      <c r="AH251" s="30" t="s">
        <v>1006</v>
      </c>
      <c r="AI251" s="30" t="n">
        <v>0</v>
      </c>
      <c r="AJ251" s="30" t="s">
        <v>1006</v>
      </c>
      <c r="AK251" s="30" t="n">
        <v>0</v>
      </c>
      <c r="AL251" s="30" t="s">
        <v>1006</v>
      </c>
      <c r="AM251" s="30" t="n">
        <v>0</v>
      </c>
      <c r="AN251" s="30" t="s">
        <v>1006</v>
      </c>
      <c r="AO251" s="30" t="n">
        <v>30.43</v>
      </c>
      <c r="AP251" s="30" t="s">
        <v>1006</v>
      </c>
      <c r="AQ251" s="30" t="n">
        <v>30.43</v>
      </c>
      <c r="AR251" s="30" t="s">
        <v>1006</v>
      </c>
      <c r="AS251" s="30" t="n">
        <v>30.43</v>
      </c>
      <c r="AT251" s="30" t="s">
        <v>1006</v>
      </c>
      <c r="AU251" s="30" t="n">
        <v>232.31</v>
      </c>
      <c r="AV251" s="30" t="n">
        <v>0.1475</v>
      </c>
      <c r="AW251" s="30" t="s">
        <v>1013</v>
      </c>
      <c r="AX251" s="30" t="s">
        <v>1008</v>
      </c>
      <c r="AY251" s="30" t="n">
        <v>1</v>
      </c>
      <c r="AZ251" s="30"/>
    </row>
    <row collapsed="false" customFormat="true" customHeight="true" hidden="false" ht="33" outlineLevel="0" r="252" s="73">
      <c r="A252" s="30" t="n">
        <v>277</v>
      </c>
      <c r="B252" s="30" t="s">
        <v>432</v>
      </c>
      <c r="C252" s="30" t="s">
        <v>1009</v>
      </c>
      <c r="D252" s="30" t="s">
        <v>999</v>
      </c>
      <c r="E252" s="30" t="s">
        <v>1010</v>
      </c>
      <c r="F252" s="30" t="s">
        <v>1011</v>
      </c>
      <c r="G252" s="30" t="s">
        <v>1002</v>
      </c>
      <c r="H252" s="30" t="s">
        <v>1003</v>
      </c>
      <c r="I252" s="30" t="n">
        <v>1</v>
      </c>
      <c r="J252" s="30"/>
      <c r="K252" s="30" t="n">
        <v>57</v>
      </c>
      <c r="L252" s="30"/>
      <c r="M252" s="30" t="s">
        <v>1012</v>
      </c>
      <c r="N252" s="30" t="s">
        <v>54</v>
      </c>
      <c r="O252" s="30"/>
      <c r="P252" s="30"/>
      <c r="Q252" s="30"/>
      <c r="R252" s="30"/>
      <c r="S252" s="30"/>
      <c r="T252" s="30"/>
      <c r="U252" s="30" t="n">
        <v>156.8</v>
      </c>
      <c r="V252" s="30" t="n">
        <v>168.49</v>
      </c>
      <c r="W252" s="30" t="n">
        <v>45.92</v>
      </c>
      <c r="X252" s="30" t="s">
        <v>1005</v>
      </c>
      <c r="Y252" s="30" t="n">
        <v>27.35</v>
      </c>
      <c r="Z252" s="30" t="s">
        <v>1005</v>
      </c>
      <c r="AA252" s="30" t="n">
        <v>22.51</v>
      </c>
      <c r="AB252" s="30" t="s">
        <v>1006</v>
      </c>
      <c r="AC252" s="30" t="n">
        <v>18.35</v>
      </c>
      <c r="AD252" s="30" t="s">
        <v>1005</v>
      </c>
      <c r="AE252" s="30" t="n">
        <v>8.4</v>
      </c>
      <c r="AF252" s="30" t="s">
        <v>1005</v>
      </c>
      <c r="AG252" s="30" t="n">
        <v>0</v>
      </c>
      <c r="AH252" s="30" t="s">
        <v>1005</v>
      </c>
      <c r="AI252" s="30" t="n">
        <v>0</v>
      </c>
      <c r="AJ252" s="30" t="s">
        <v>1005</v>
      </c>
      <c r="AK252" s="30" t="n">
        <v>0</v>
      </c>
      <c r="AL252" s="30" t="s">
        <v>1005</v>
      </c>
      <c r="AM252" s="30" t="n">
        <v>0</v>
      </c>
      <c r="AN252" s="30" t="s">
        <v>1005</v>
      </c>
      <c r="AO252" s="30" t="n">
        <v>19</v>
      </c>
      <c r="AP252" s="30" t="s">
        <v>1005</v>
      </c>
      <c r="AQ252" s="30" t="n">
        <v>19</v>
      </c>
      <c r="AR252" s="30" t="s">
        <v>1005</v>
      </c>
      <c r="AS252" s="30" t="n">
        <v>27.27</v>
      </c>
      <c r="AT252" s="30" t="s">
        <v>1006</v>
      </c>
      <c r="AU252" s="30" t="n">
        <v>187.8</v>
      </c>
      <c r="AV252" s="30" t="n">
        <v>0.098</v>
      </c>
      <c r="AW252" s="30" t="s">
        <v>1013</v>
      </c>
      <c r="AX252" s="30" t="s">
        <v>1008</v>
      </c>
      <c r="AY252" s="30" t="n">
        <v>1</v>
      </c>
      <c r="AZ252" s="30"/>
    </row>
    <row collapsed="false" customFormat="true" customHeight="true" hidden="false" ht="33" outlineLevel="0" r="253" s="73">
      <c r="A253" s="30" t="n">
        <v>278</v>
      </c>
      <c r="B253" s="30" t="s">
        <v>433</v>
      </c>
      <c r="C253" s="30" t="s">
        <v>1009</v>
      </c>
      <c r="D253" s="30" t="s">
        <v>999</v>
      </c>
      <c r="E253" s="30" t="s">
        <v>1010</v>
      </c>
      <c r="F253" s="30" t="s">
        <v>1011</v>
      </c>
      <c r="G253" s="30" t="s">
        <v>1002</v>
      </c>
      <c r="H253" s="30" t="s">
        <v>1003</v>
      </c>
      <c r="I253" s="30" t="n">
        <v>0</v>
      </c>
      <c r="J253" s="30"/>
      <c r="K253" s="30" t="n">
        <v>57</v>
      </c>
      <c r="L253" s="30"/>
      <c r="M253" s="30" t="s">
        <v>1012</v>
      </c>
      <c r="N253" s="30" t="s">
        <v>54</v>
      </c>
      <c r="O253" s="30"/>
      <c r="P253" s="30"/>
      <c r="Q253" s="30"/>
      <c r="R253" s="30"/>
      <c r="S253" s="30"/>
      <c r="T253" s="30"/>
      <c r="U253" s="30" t="n">
        <v>217.6</v>
      </c>
      <c r="V253" s="30" t="n">
        <v>253.6</v>
      </c>
      <c r="W253" s="30" t="n">
        <v>36.38</v>
      </c>
      <c r="X253" s="30" t="s">
        <v>1006</v>
      </c>
      <c r="Y253" s="30" t="n">
        <v>36.38</v>
      </c>
      <c r="Z253" s="30" t="s">
        <v>1006</v>
      </c>
      <c r="AA253" s="30" t="n">
        <v>36.38</v>
      </c>
      <c r="AB253" s="30" t="s">
        <v>1006</v>
      </c>
      <c r="AC253" s="30" t="n">
        <v>36.38</v>
      </c>
      <c r="AD253" s="30" t="s">
        <v>1006</v>
      </c>
      <c r="AE253" s="30" t="n">
        <v>10.56</v>
      </c>
      <c r="AF253" s="30" t="s">
        <v>1006</v>
      </c>
      <c r="AG253" s="30" t="n">
        <v>0</v>
      </c>
      <c r="AH253" s="30" t="s">
        <v>1006</v>
      </c>
      <c r="AI253" s="30" t="n">
        <v>0</v>
      </c>
      <c r="AJ253" s="30" t="s">
        <v>1006</v>
      </c>
      <c r="AK253" s="30" t="n">
        <v>0</v>
      </c>
      <c r="AL253" s="30" t="s">
        <v>1006</v>
      </c>
      <c r="AM253" s="30" t="n">
        <v>0</v>
      </c>
      <c r="AN253" s="30" t="s">
        <v>1006</v>
      </c>
      <c r="AO253" s="30" t="n">
        <v>33.98</v>
      </c>
      <c r="AP253" s="30" t="s">
        <v>1006</v>
      </c>
      <c r="AQ253" s="30" t="n">
        <v>33.98</v>
      </c>
      <c r="AR253" s="30" t="s">
        <v>1006</v>
      </c>
      <c r="AS253" s="30" t="n">
        <v>33.98</v>
      </c>
      <c r="AT253" s="30" t="s">
        <v>1006</v>
      </c>
      <c r="AU253" s="30" t="n">
        <v>258.02</v>
      </c>
      <c r="AV253" s="30" t="n">
        <v>0.149</v>
      </c>
      <c r="AW253" s="30" t="s">
        <v>1013</v>
      </c>
      <c r="AX253" s="30" t="s">
        <v>1008</v>
      </c>
      <c r="AY253" s="30" t="n">
        <v>1</v>
      </c>
      <c r="AZ253" s="30"/>
    </row>
    <row collapsed="false" customFormat="true" customHeight="true" hidden="false" ht="33" outlineLevel="0" r="254" s="73">
      <c r="A254" s="30" t="n">
        <v>280</v>
      </c>
      <c r="B254" s="30" t="s">
        <v>435</v>
      </c>
      <c r="C254" s="30" t="s">
        <v>1009</v>
      </c>
      <c r="D254" s="30" t="s">
        <v>999</v>
      </c>
      <c r="E254" s="30" t="s">
        <v>1010</v>
      </c>
      <c r="F254" s="30" t="s">
        <v>1011</v>
      </c>
      <c r="G254" s="30" t="s">
        <v>1002</v>
      </c>
      <c r="H254" s="30" t="s">
        <v>1003</v>
      </c>
      <c r="I254" s="30" t="n">
        <v>2</v>
      </c>
      <c r="J254" s="30"/>
      <c r="K254" s="30" t="n">
        <v>76</v>
      </c>
      <c r="L254" s="30"/>
      <c r="M254" s="30" t="s">
        <v>1012</v>
      </c>
      <c r="N254" s="30" t="s">
        <v>54</v>
      </c>
      <c r="O254" s="30"/>
      <c r="P254" s="30"/>
      <c r="Q254" s="30"/>
      <c r="R254" s="30"/>
      <c r="S254" s="30"/>
      <c r="T254" s="30"/>
      <c r="U254" s="30"/>
      <c r="V254" s="30" t="n">
        <v>1165.81</v>
      </c>
      <c r="W254" s="30" t="n">
        <v>181.38</v>
      </c>
      <c r="X254" s="30" t="s">
        <v>1006</v>
      </c>
      <c r="Y254" s="30" t="n">
        <v>180.56</v>
      </c>
      <c r="Z254" s="30" t="s">
        <v>1006</v>
      </c>
      <c r="AA254" s="30" t="n">
        <v>180.56</v>
      </c>
      <c r="AB254" s="30" t="s">
        <v>1006</v>
      </c>
      <c r="AC254" s="30" t="n">
        <v>180.56</v>
      </c>
      <c r="AD254" s="30" t="s">
        <v>1006</v>
      </c>
      <c r="AE254" s="30" t="n">
        <v>52.42</v>
      </c>
      <c r="AF254" s="30" t="s">
        <v>1006</v>
      </c>
      <c r="AG254" s="30" t="n">
        <v>0</v>
      </c>
      <c r="AH254" s="30" t="s">
        <v>1006</v>
      </c>
      <c r="AI254" s="30" t="n">
        <v>0</v>
      </c>
      <c r="AJ254" s="30" t="s">
        <v>1006</v>
      </c>
      <c r="AK254" s="30" t="n">
        <v>0</v>
      </c>
      <c r="AL254" s="30" t="s">
        <v>1006</v>
      </c>
      <c r="AM254" s="30" t="n">
        <v>0</v>
      </c>
      <c r="AN254" s="30" t="s">
        <v>1006</v>
      </c>
      <c r="AO254" s="30" t="n">
        <v>102.81</v>
      </c>
      <c r="AP254" s="30" t="s">
        <v>1005</v>
      </c>
      <c r="AQ254" s="30" t="n">
        <v>153.51</v>
      </c>
      <c r="AR254" s="30" t="s">
        <v>1005</v>
      </c>
      <c r="AS254" s="30" t="n">
        <v>211.97</v>
      </c>
      <c r="AT254" s="30" t="s">
        <v>1005</v>
      </c>
      <c r="AU254" s="30" t="n">
        <v>1243.77</v>
      </c>
      <c r="AV254" s="30" t="n">
        <v>0.675</v>
      </c>
      <c r="AW254" s="30" t="s">
        <v>1013</v>
      </c>
      <c r="AX254" s="30" t="s">
        <v>1008</v>
      </c>
      <c r="AY254" s="30" t="n">
        <v>2</v>
      </c>
      <c r="AZ254" s="30"/>
    </row>
    <row collapsed="false" customFormat="true" customHeight="true" hidden="false" ht="33" outlineLevel="0" r="255" s="73">
      <c r="A255" s="30" t="n">
        <v>281</v>
      </c>
      <c r="B255" s="30" t="s">
        <v>437</v>
      </c>
      <c r="C255" s="30" t="s">
        <v>1009</v>
      </c>
      <c r="D255" s="30" t="s">
        <v>999</v>
      </c>
      <c r="E255" s="30" t="s">
        <v>1010</v>
      </c>
      <c r="F255" s="30" t="s">
        <v>1011</v>
      </c>
      <c r="G255" s="30" t="s">
        <v>1002</v>
      </c>
      <c r="H255" s="30" t="s">
        <v>1003</v>
      </c>
      <c r="I255" s="30" t="n">
        <v>0</v>
      </c>
      <c r="J255" s="30"/>
      <c r="K255" s="30" t="n">
        <v>57</v>
      </c>
      <c r="L255" s="30"/>
      <c r="M255" s="30" t="s">
        <v>1012</v>
      </c>
      <c r="N255" s="30" t="s">
        <v>54</v>
      </c>
      <c r="O255" s="30"/>
      <c r="P255" s="30"/>
      <c r="Q255" s="30"/>
      <c r="R255" s="30"/>
      <c r="S255" s="30"/>
      <c r="T255" s="30"/>
      <c r="U255" s="30" t="n">
        <v>126.22</v>
      </c>
      <c r="V255" s="30" t="n">
        <v>128.84</v>
      </c>
      <c r="W255" s="30" t="n">
        <v>53.19</v>
      </c>
      <c r="X255" s="30" t="s">
        <v>1005</v>
      </c>
      <c r="Y255" s="30" t="n">
        <v>22.43</v>
      </c>
      <c r="Z255" s="30" t="s">
        <v>1006</v>
      </c>
      <c r="AA255" s="30" t="n">
        <v>22.43</v>
      </c>
      <c r="AB255" s="30" t="s">
        <v>1006</v>
      </c>
      <c r="AC255" s="30" t="n">
        <v>22.43</v>
      </c>
      <c r="AD255" s="30" t="s">
        <v>1006</v>
      </c>
      <c r="AE255" s="30" t="n">
        <v>6.51</v>
      </c>
      <c r="AF255" s="30" t="s">
        <v>1006</v>
      </c>
      <c r="AG255" s="30" t="n">
        <v>0</v>
      </c>
      <c r="AH255" s="30" t="s">
        <v>1006</v>
      </c>
      <c r="AI255" s="30" t="n">
        <v>0</v>
      </c>
      <c r="AJ255" s="30" t="s">
        <v>1006</v>
      </c>
      <c r="AK255" s="30" t="n">
        <v>0</v>
      </c>
      <c r="AL255" s="30" t="s">
        <v>1006</v>
      </c>
      <c r="AM255" s="30" t="n">
        <v>0</v>
      </c>
      <c r="AN255" s="30" t="s">
        <v>1006</v>
      </c>
      <c r="AO255" s="30" t="n">
        <v>17.97</v>
      </c>
      <c r="AP255" s="30" t="s">
        <v>1005</v>
      </c>
      <c r="AQ255" s="30" t="n">
        <v>21.13</v>
      </c>
      <c r="AR255" s="30" t="s">
        <v>1005</v>
      </c>
      <c r="AS255" s="30" t="n">
        <v>29.41</v>
      </c>
      <c r="AT255" s="30" t="s">
        <v>1005</v>
      </c>
      <c r="AU255" s="30" t="n">
        <v>195.5</v>
      </c>
      <c r="AV255" s="30" t="n">
        <v>0.073</v>
      </c>
      <c r="AW255" s="30" t="s">
        <v>1013</v>
      </c>
      <c r="AX255" s="30" t="s">
        <v>1008</v>
      </c>
      <c r="AY255" s="30"/>
      <c r="AZ255" s="30"/>
    </row>
    <row collapsed="false" customFormat="true" customHeight="true" hidden="false" ht="33" outlineLevel="0" r="256" s="73">
      <c r="A256" s="30" t="n">
        <v>282</v>
      </c>
      <c r="B256" s="30" t="s">
        <v>438</v>
      </c>
      <c r="C256" s="30" t="s">
        <v>1009</v>
      </c>
      <c r="D256" s="30" t="s">
        <v>999</v>
      </c>
      <c r="E256" s="30" t="s">
        <v>1010</v>
      </c>
      <c r="F256" s="30" t="s">
        <v>1011</v>
      </c>
      <c r="G256" s="30" t="s">
        <v>1002</v>
      </c>
      <c r="H256" s="30" t="s">
        <v>1003</v>
      </c>
      <c r="I256" s="30" t="n">
        <v>1</v>
      </c>
      <c r="J256" s="30"/>
      <c r="K256" s="30" t="n">
        <v>57</v>
      </c>
      <c r="L256" s="30"/>
      <c r="M256" s="30" t="s">
        <v>1012</v>
      </c>
      <c r="N256" s="30" t="s">
        <v>54</v>
      </c>
      <c r="O256" s="30"/>
      <c r="P256" s="30"/>
      <c r="Q256" s="30"/>
      <c r="R256" s="30"/>
      <c r="S256" s="30"/>
      <c r="T256" s="30"/>
      <c r="U256" s="30" t="n">
        <v>147.76</v>
      </c>
      <c r="V256" s="30" t="n">
        <v>159.04</v>
      </c>
      <c r="W256" s="30" t="n">
        <v>67.04</v>
      </c>
      <c r="X256" s="30" t="s">
        <v>1005</v>
      </c>
      <c r="Y256" s="30" t="n">
        <v>34.44</v>
      </c>
      <c r="Z256" s="30" t="s">
        <v>1006</v>
      </c>
      <c r="AA256" s="30" t="n">
        <v>34.44</v>
      </c>
      <c r="AB256" s="30" t="s">
        <v>1006</v>
      </c>
      <c r="AC256" s="30" t="n">
        <v>34.44</v>
      </c>
      <c r="AD256" s="30" t="s">
        <v>1006</v>
      </c>
      <c r="AE256" s="30" t="n">
        <v>10</v>
      </c>
      <c r="AF256" s="30" t="s">
        <v>1006</v>
      </c>
      <c r="AG256" s="30" t="n">
        <v>0</v>
      </c>
      <c r="AH256" s="30" t="s">
        <v>1006</v>
      </c>
      <c r="AI256" s="30" t="n">
        <v>0</v>
      </c>
      <c r="AJ256" s="30" t="s">
        <v>1006</v>
      </c>
      <c r="AK256" s="30" t="n">
        <v>0</v>
      </c>
      <c r="AL256" s="30" t="s">
        <v>1006</v>
      </c>
      <c r="AM256" s="30" t="n">
        <v>0</v>
      </c>
      <c r="AN256" s="30" t="s">
        <v>1006</v>
      </c>
      <c r="AO256" s="30" t="n">
        <v>23.33</v>
      </c>
      <c r="AP256" s="30" t="s">
        <v>1005</v>
      </c>
      <c r="AQ256" s="30" t="n">
        <v>26.64</v>
      </c>
      <c r="AR256" s="30" t="s">
        <v>1005</v>
      </c>
      <c r="AS256" s="30" t="n">
        <v>37.05</v>
      </c>
      <c r="AT256" s="30" t="s">
        <v>1005</v>
      </c>
      <c r="AU256" s="30" t="n">
        <v>267.38</v>
      </c>
      <c r="AV256" s="30" t="n">
        <v>0.092</v>
      </c>
      <c r="AW256" s="30" t="s">
        <v>1013</v>
      </c>
      <c r="AX256" s="30" t="s">
        <v>1008</v>
      </c>
      <c r="AY256" s="30" t="n">
        <v>1</v>
      </c>
      <c r="AZ256" s="30"/>
    </row>
    <row collapsed="false" customFormat="true" customHeight="true" hidden="false" ht="33" outlineLevel="0" r="257" s="73">
      <c r="A257" s="30" t="n">
        <v>283</v>
      </c>
      <c r="B257" s="30" t="s">
        <v>439</v>
      </c>
      <c r="C257" s="30" t="s">
        <v>1009</v>
      </c>
      <c r="D257" s="30" t="s">
        <v>999</v>
      </c>
      <c r="E257" s="30" t="s">
        <v>1010</v>
      </c>
      <c r="F257" s="30" t="s">
        <v>1011</v>
      </c>
      <c r="G257" s="30" t="s">
        <v>1002</v>
      </c>
      <c r="H257" s="30" t="s">
        <v>1003</v>
      </c>
      <c r="I257" s="30" t="n">
        <v>0</v>
      </c>
      <c r="J257" s="30"/>
      <c r="K257" s="30" t="n">
        <v>57</v>
      </c>
      <c r="L257" s="30"/>
      <c r="M257" s="30" t="s">
        <v>1012</v>
      </c>
      <c r="N257" s="30" t="s">
        <v>54</v>
      </c>
      <c r="O257" s="30"/>
      <c r="P257" s="30"/>
      <c r="Q257" s="30"/>
      <c r="R257" s="30"/>
      <c r="S257" s="30"/>
      <c r="T257" s="30"/>
      <c r="U257" s="30" t="n">
        <v>127.52</v>
      </c>
      <c r="V257" s="30" t="n">
        <v>136.88</v>
      </c>
      <c r="W257" s="30" t="n">
        <v>54.57</v>
      </c>
      <c r="X257" s="30" t="s">
        <v>1005</v>
      </c>
      <c r="Y257" s="30" t="n">
        <v>26.42</v>
      </c>
      <c r="Z257" s="30" t="s">
        <v>1006</v>
      </c>
      <c r="AA257" s="30" t="n">
        <v>27.15</v>
      </c>
      <c r="AB257" s="30" t="s">
        <v>1006</v>
      </c>
      <c r="AC257" s="30" t="n">
        <v>26.04</v>
      </c>
      <c r="AD257" s="30" t="s">
        <v>1006</v>
      </c>
      <c r="AE257" s="30" t="n">
        <v>7.32</v>
      </c>
      <c r="AF257" s="30" t="s">
        <v>1006</v>
      </c>
      <c r="AG257" s="30" t="n">
        <v>0</v>
      </c>
      <c r="AH257" s="30" t="s">
        <v>1006</v>
      </c>
      <c r="AI257" s="30" t="n">
        <v>0</v>
      </c>
      <c r="AJ257" s="30" t="s">
        <v>1006</v>
      </c>
      <c r="AK257" s="30" t="n">
        <v>0</v>
      </c>
      <c r="AL257" s="30" t="s">
        <v>1006</v>
      </c>
      <c r="AM257" s="30" t="n">
        <v>0</v>
      </c>
      <c r="AN257" s="30" t="s">
        <v>1006</v>
      </c>
      <c r="AO257" s="30" t="n">
        <v>19.17</v>
      </c>
      <c r="AP257" s="30" t="s">
        <v>1005</v>
      </c>
      <c r="AQ257" s="30" t="n">
        <v>22.46</v>
      </c>
      <c r="AR257" s="30" t="s">
        <v>1005</v>
      </c>
      <c r="AS257" s="30" t="n">
        <v>30.91</v>
      </c>
      <c r="AT257" s="30" t="s">
        <v>1005</v>
      </c>
      <c r="AU257" s="30" t="n">
        <v>214.04</v>
      </c>
      <c r="AV257" s="30" t="n">
        <v>0.07</v>
      </c>
      <c r="AW257" s="30" t="s">
        <v>1013</v>
      </c>
      <c r="AX257" s="30" t="s">
        <v>1008</v>
      </c>
      <c r="AY257" s="30"/>
      <c r="AZ257" s="30"/>
    </row>
    <row collapsed="false" customFormat="true" customHeight="true" hidden="false" ht="33" outlineLevel="0" r="258" s="73">
      <c r="A258" s="30" t="n">
        <v>284</v>
      </c>
      <c r="B258" s="30" t="s">
        <v>440</v>
      </c>
      <c r="C258" s="30" t="s">
        <v>1009</v>
      </c>
      <c r="D258" s="30" t="s">
        <v>999</v>
      </c>
      <c r="E258" s="30" t="s">
        <v>1010</v>
      </c>
      <c r="F258" s="30" t="s">
        <v>1011</v>
      </c>
      <c r="G258" s="30" t="s">
        <v>1002</v>
      </c>
      <c r="H258" s="30" t="s">
        <v>1003</v>
      </c>
      <c r="I258" s="30" t="n">
        <v>1</v>
      </c>
      <c r="J258" s="30"/>
      <c r="K258" s="30" t="n">
        <v>57</v>
      </c>
      <c r="L258" s="30"/>
      <c r="M258" s="30" t="s">
        <v>1012</v>
      </c>
      <c r="N258" s="30" t="s">
        <v>54</v>
      </c>
      <c r="O258" s="30"/>
      <c r="P258" s="30"/>
      <c r="Q258" s="30"/>
      <c r="R258" s="30"/>
      <c r="S258" s="30"/>
      <c r="T258" s="30"/>
      <c r="U258" s="30" t="n">
        <v>168.18</v>
      </c>
      <c r="V258" s="30" t="n">
        <v>190.25</v>
      </c>
      <c r="W258" s="30" t="n">
        <v>29.26</v>
      </c>
      <c r="X258" s="30" t="s">
        <v>1005</v>
      </c>
      <c r="Y258" s="30" t="n">
        <v>23.42</v>
      </c>
      <c r="Z258" s="30" t="s">
        <v>1006</v>
      </c>
      <c r="AA258" s="30" t="n">
        <v>31.13</v>
      </c>
      <c r="AB258" s="30" t="s">
        <v>1005</v>
      </c>
      <c r="AC258" s="30" t="n">
        <v>9.98</v>
      </c>
      <c r="AD258" s="30" t="s">
        <v>1005</v>
      </c>
      <c r="AE258" s="30" t="n">
        <v>6.79</v>
      </c>
      <c r="AF258" s="30" t="s">
        <v>1006</v>
      </c>
      <c r="AG258" s="30" t="n">
        <v>0</v>
      </c>
      <c r="AH258" s="30" t="s">
        <v>1006</v>
      </c>
      <c r="AI258" s="30" t="n">
        <v>0</v>
      </c>
      <c r="AJ258" s="30" t="s">
        <v>1006</v>
      </c>
      <c r="AK258" s="30" t="n">
        <v>0</v>
      </c>
      <c r="AL258" s="30" t="s">
        <v>1006</v>
      </c>
      <c r="AM258" s="30" t="n">
        <v>0</v>
      </c>
      <c r="AN258" s="30" t="s">
        <v>1006</v>
      </c>
      <c r="AO258" s="30" t="n">
        <v>15.1</v>
      </c>
      <c r="AP258" s="30" t="s">
        <v>1005</v>
      </c>
      <c r="AQ258" s="30" t="n">
        <v>15.6</v>
      </c>
      <c r="AR258" s="30" t="s">
        <v>1005</v>
      </c>
      <c r="AS258" s="30" t="n">
        <v>22.75</v>
      </c>
      <c r="AT258" s="30" t="s">
        <v>1005</v>
      </c>
      <c r="AU258" s="30" t="n">
        <v>154.03</v>
      </c>
      <c r="AV258" s="30" t="n">
        <v>0.10082</v>
      </c>
      <c r="AW258" s="30" t="s">
        <v>1013</v>
      </c>
      <c r="AX258" s="30" t="s">
        <v>1008</v>
      </c>
      <c r="AY258" s="30"/>
      <c r="AZ258" s="30"/>
    </row>
    <row collapsed="false" customFormat="true" customHeight="true" hidden="false" ht="33" outlineLevel="0" r="259" s="73">
      <c r="A259" s="30" t="n">
        <v>285</v>
      </c>
      <c r="B259" s="30" t="s">
        <v>441</v>
      </c>
      <c r="C259" s="30" t="s">
        <v>1009</v>
      </c>
      <c r="D259" s="30" t="s">
        <v>999</v>
      </c>
      <c r="E259" s="30" t="s">
        <v>1010</v>
      </c>
      <c r="F259" s="30" t="s">
        <v>1011</v>
      </c>
      <c r="G259" s="30" t="s">
        <v>1002</v>
      </c>
      <c r="H259" s="30" t="s">
        <v>1003</v>
      </c>
      <c r="I259" s="30" t="n">
        <v>1</v>
      </c>
      <c r="J259" s="30"/>
      <c r="K259" s="30" t="n">
        <v>57</v>
      </c>
      <c r="L259" s="30"/>
      <c r="M259" s="30" t="s">
        <v>1012</v>
      </c>
      <c r="N259" s="30" t="s">
        <v>54</v>
      </c>
      <c r="O259" s="30"/>
      <c r="P259" s="30"/>
      <c r="Q259" s="30"/>
      <c r="R259" s="30"/>
      <c r="S259" s="30"/>
      <c r="T259" s="30"/>
      <c r="U259" s="30" t="n">
        <v>242.08</v>
      </c>
      <c r="V259" s="30" t="n">
        <v>296.88</v>
      </c>
      <c r="W259" s="30" t="n">
        <v>61.02</v>
      </c>
      <c r="X259" s="30" t="s">
        <v>1005</v>
      </c>
      <c r="Y259" s="30" t="n">
        <v>51.54</v>
      </c>
      <c r="Z259" s="30" t="s">
        <v>1005</v>
      </c>
      <c r="AA259" s="30" t="n">
        <v>42.72</v>
      </c>
      <c r="AB259" s="30" t="s">
        <v>1005</v>
      </c>
      <c r="AC259" s="30" t="n">
        <v>24.04</v>
      </c>
      <c r="AD259" s="30" t="s">
        <v>1005</v>
      </c>
      <c r="AE259" s="30" t="n">
        <v>11.17</v>
      </c>
      <c r="AF259" s="30" t="s">
        <v>1005</v>
      </c>
      <c r="AG259" s="30" t="n">
        <v>0</v>
      </c>
      <c r="AH259" s="30" t="s">
        <v>1005</v>
      </c>
      <c r="AI259" s="30" t="n">
        <v>0</v>
      </c>
      <c r="AJ259" s="30" t="s">
        <v>1005</v>
      </c>
      <c r="AK259" s="30" t="n">
        <v>0</v>
      </c>
      <c r="AL259" s="30" t="s">
        <v>1005</v>
      </c>
      <c r="AM259" s="30" t="n">
        <v>0</v>
      </c>
      <c r="AN259" s="30" t="s">
        <v>1005</v>
      </c>
      <c r="AO259" s="30" t="n">
        <v>34.37</v>
      </c>
      <c r="AP259" s="30" t="s">
        <v>1006</v>
      </c>
      <c r="AQ259" s="30" t="n">
        <v>16.65</v>
      </c>
      <c r="AR259" s="30" t="s">
        <v>1005</v>
      </c>
      <c r="AS259" s="30" t="n">
        <v>29.29</v>
      </c>
      <c r="AT259" s="30" t="s">
        <v>1005</v>
      </c>
      <c r="AU259" s="30" t="n">
        <v>270.8</v>
      </c>
      <c r="AV259" s="30" t="n">
        <v>0.14641</v>
      </c>
      <c r="AW259" s="30" t="s">
        <v>1013</v>
      </c>
      <c r="AX259" s="30" t="s">
        <v>1008</v>
      </c>
      <c r="AY259" s="30" t="n">
        <v>1</v>
      </c>
      <c r="AZ259" s="30"/>
    </row>
    <row collapsed="false" customFormat="true" customHeight="true" hidden="false" ht="33" outlineLevel="0" r="260" s="73">
      <c r="A260" s="30" t="n">
        <v>286</v>
      </c>
      <c r="B260" s="30" t="s">
        <v>442</v>
      </c>
      <c r="C260" s="30" t="s">
        <v>1009</v>
      </c>
      <c r="D260" s="30" t="s">
        <v>999</v>
      </c>
      <c r="E260" s="30" t="s">
        <v>1010</v>
      </c>
      <c r="F260" s="30" t="s">
        <v>1011</v>
      </c>
      <c r="G260" s="30" t="s">
        <v>1002</v>
      </c>
      <c r="H260" s="30" t="s">
        <v>1003</v>
      </c>
      <c r="I260" s="30" t="n">
        <v>0</v>
      </c>
      <c r="J260" s="30"/>
      <c r="K260" s="30" t="n">
        <v>57</v>
      </c>
      <c r="L260" s="30"/>
      <c r="M260" s="30" t="s">
        <v>1012</v>
      </c>
      <c r="N260" s="30" t="s">
        <v>54</v>
      </c>
      <c r="O260" s="30"/>
      <c r="P260" s="30"/>
      <c r="Q260" s="30"/>
      <c r="R260" s="30"/>
      <c r="S260" s="30"/>
      <c r="T260" s="30"/>
      <c r="U260" s="30" t="n">
        <v>246.72</v>
      </c>
      <c r="V260" s="30" t="n">
        <v>182.03</v>
      </c>
      <c r="W260" s="30" t="n">
        <v>35.11</v>
      </c>
      <c r="X260" s="30" t="s">
        <v>1006</v>
      </c>
      <c r="Y260" s="30" t="n">
        <v>35.11</v>
      </c>
      <c r="Z260" s="30" t="s">
        <v>1006</v>
      </c>
      <c r="AA260" s="30" t="n">
        <v>35.11</v>
      </c>
      <c r="AB260" s="30" t="s">
        <v>1006</v>
      </c>
      <c r="AC260" s="30" t="n">
        <v>35.11</v>
      </c>
      <c r="AD260" s="30" t="s">
        <v>1006</v>
      </c>
      <c r="AE260" s="30" t="n">
        <v>10.2</v>
      </c>
      <c r="AF260" s="30" t="s">
        <v>1006</v>
      </c>
      <c r="AG260" s="30" t="n">
        <v>0</v>
      </c>
      <c r="AH260" s="30" t="s">
        <v>1006</v>
      </c>
      <c r="AI260" s="30" t="n">
        <v>0</v>
      </c>
      <c r="AJ260" s="30" t="s">
        <v>1006</v>
      </c>
      <c r="AK260" s="30" t="n">
        <v>0</v>
      </c>
      <c r="AL260" s="30" t="s">
        <v>1006</v>
      </c>
      <c r="AM260" s="30" t="n">
        <v>0</v>
      </c>
      <c r="AN260" s="30" t="s">
        <v>1006</v>
      </c>
      <c r="AO260" s="30" t="n">
        <v>33.79</v>
      </c>
      <c r="AP260" s="30" t="s">
        <v>1006</v>
      </c>
      <c r="AQ260" s="30" t="n">
        <v>33.79</v>
      </c>
      <c r="AR260" s="30" t="s">
        <v>1006</v>
      </c>
      <c r="AS260" s="30" t="n">
        <v>33.79</v>
      </c>
      <c r="AT260" s="30" t="s">
        <v>1006</v>
      </c>
      <c r="AU260" s="30" t="n">
        <v>252.01</v>
      </c>
      <c r="AV260" s="30" t="n">
        <v>0.143</v>
      </c>
      <c r="AW260" s="30" t="s">
        <v>1013</v>
      </c>
      <c r="AX260" s="30" t="s">
        <v>1008</v>
      </c>
      <c r="AY260" s="30" t="n">
        <v>1</v>
      </c>
      <c r="AZ260" s="30"/>
    </row>
    <row collapsed="false" customFormat="true" customHeight="true" hidden="false" ht="33" outlineLevel="0" r="261" s="73">
      <c r="A261" s="30" t="n">
        <v>287</v>
      </c>
      <c r="B261" s="30" t="s">
        <v>443</v>
      </c>
      <c r="C261" s="30" t="s">
        <v>1009</v>
      </c>
      <c r="D261" s="30" t="s">
        <v>999</v>
      </c>
      <c r="E261" s="30" t="s">
        <v>1010</v>
      </c>
      <c r="F261" s="30" t="s">
        <v>1011</v>
      </c>
      <c r="G261" s="30" t="s">
        <v>1002</v>
      </c>
      <c r="H261" s="30" t="s">
        <v>1003</v>
      </c>
      <c r="I261" s="30" t="n">
        <v>0</v>
      </c>
      <c r="J261" s="30"/>
      <c r="K261" s="30" t="n">
        <v>57</v>
      </c>
      <c r="L261" s="30"/>
      <c r="M261" s="30" t="s">
        <v>1012</v>
      </c>
      <c r="N261" s="30" t="s">
        <v>54</v>
      </c>
      <c r="O261" s="30"/>
      <c r="P261" s="30"/>
      <c r="Q261" s="30"/>
      <c r="R261" s="30"/>
      <c r="S261" s="30"/>
      <c r="T261" s="30"/>
      <c r="U261" s="30" t="n">
        <v>169.36</v>
      </c>
      <c r="V261" s="30" t="n">
        <v>178.23</v>
      </c>
      <c r="W261" s="30" t="n">
        <v>22.32</v>
      </c>
      <c r="X261" s="30" t="s">
        <v>1006</v>
      </c>
      <c r="Y261" s="30" t="n">
        <v>22.32</v>
      </c>
      <c r="Z261" s="30" t="s">
        <v>1006</v>
      </c>
      <c r="AA261" s="30" t="n">
        <v>22.32</v>
      </c>
      <c r="AB261" s="30" t="s">
        <v>1006</v>
      </c>
      <c r="AC261" s="30" t="n">
        <v>22.32</v>
      </c>
      <c r="AD261" s="30" t="s">
        <v>1006</v>
      </c>
      <c r="AE261" s="30" t="n">
        <v>6.48</v>
      </c>
      <c r="AF261" s="30" t="s">
        <v>1006</v>
      </c>
      <c r="AG261" s="30" t="n">
        <v>0</v>
      </c>
      <c r="AH261" s="30" t="s">
        <v>1006</v>
      </c>
      <c r="AI261" s="30" t="n">
        <v>0</v>
      </c>
      <c r="AJ261" s="30" t="s">
        <v>1006</v>
      </c>
      <c r="AK261" s="30" t="n">
        <v>0</v>
      </c>
      <c r="AL261" s="30" t="s">
        <v>1006</v>
      </c>
      <c r="AM261" s="30" t="n">
        <v>0</v>
      </c>
      <c r="AN261" s="30" t="s">
        <v>1006</v>
      </c>
      <c r="AO261" s="30" t="n">
        <v>21.33</v>
      </c>
      <c r="AP261" s="30" t="s">
        <v>1006</v>
      </c>
      <c r="AQ261" s="30" t="n">
        <v>21.33</v>
      </c>
      <c r="AR261" s="30" t="s">
        <v>1006</v>
      </c>
      <c r="AS261" s="30" t="n">
        <v>21.33</v>
      </c>
      <c r="AT261" s="30" t="s">
        <v>1006</v>
      </c>
      <c r="AU261" s="30" t="n">
        <v>159.75</v>
      </c>
      <c r="AV261" s="30" t="n">
        <v>0.098</v>
      </c>
      <c r="AW261" s="30" t="s">
        <v>1013</v>
      </c>
      <c r="AX261" s="30" t="s">
        <v>1008</v>
      </c>
      <c r="AY261" s="30" t="n">
        <v>1</v>
      </c>
      <c r="AZ261" s="30"/>
    </row>
    <row collapsed="false" customFormat="true" customHeight="true" hidden="false" ht="33" outlineLevel="0" r="262" s="73">
      <c r="A262" s="30" t="n">
        <v>288</v>
      </c>
      <c r="B262" s="30" t="s">
        <v>444</v>
      </c>
      <c r="C262" s="30" t="s">
        <v>1009</v>
      </c>
      <c r="D262" s="30" t="s">
        <v>999</v>
      </c>
      <c r="E262" s="30" t="s">
        <v>1010</v>
      </c>
      <c r="F262" s="30" t="s">
        <v>1011</v>
      </c>
      <c r="G262" s="30" t="s">
        <v>1002</v>
      </c>
      <c r="H262" s="30" t="s">
        <v>1003</v>
      </c>
      <c r="I262" s="30" t="n">
        <v>0</v>
      </c>
      <c r="J262" s="30"/>
      <c r="K262" s="30" t="n">
        <v>57</v>
      </c>
      <c r="L262" s="30"/>
      <c r="M262" s="30" t="s">
        <v>1012</v>
      </c>
      <c r="N262" s="30" t="s">
        <v>54</v>
      </c>
      <c r="O262" s="30"/>
      <c r="P262" s="30"/>
      <c r="Q262" s="30"/>
      <c r="R262" s="30"/>
      <c r="S262" s="30"/>
      <c r="T262" s="30"/>
      <c r="U262" s="30" t="n">
        <v>255.49</v>
      </c>
      <c r="V262" s="30" t="n">
        <v>228.04</v>
      </c>
      <c r="W262" s="30" t="n">
        <v>35.35</v>
      </c>
      <c r="X262" s="30" t="s">
        <v>1006</v>
      </c>
      <c r="Y262" s="30" t="n">
        <v>35.35</v>
      </c>
      <c r="Z262" s="30" t="s">
        <v>1006</v>
      </c>
      <c r="AA262" s="30" t="n">
        <v>35.35</v>
      </c>
      <c r="AB262" s="30" t="s">
        <v>1006</v>
      </c>
      <c r="AC262" s="30" t="n">
        <v>35.35</v>
      </c>
      <c r="AD262" s="30" t="s">
        <v>1006</v>
      </c>
      <c r="AE262" s="30" t="n">
        <v>10.26</v>
      </c>
      <c r="AF262" s="30" t="s">
        <v>1006</v>
      </c>
      <c r="AG262" s="30" t="n">
        <v>0</v>
      </c>
      <c r="AH262" s="30" t="s">
        <v>1006</v>
      </c>
      <c r="AI262" s="30" t="n">
        <v>0</v>
      </c>
      <c r="AJ262" s="30" t="s">
        <v>1006</v>
      </c>
      <c r="AK262" s="30" t="n">
        <v>0</v>
      </c>
      <c r="AL262" s="30" t="s">
        <v>1006</v>
      </c>
      <c r="AM262" s="30" t="n">
        <v>0</v>
      </c>
      <c r="AN262" s="30" t="s">
        <v>1006</v>
      </c>
      <c r="AO262" s="30" t="n">
        <v>34.1</v>
      </c>
      <c r="AP262" s="30" t="s">
        <v>1006</v>
      </c>
      <c r="AQ262" s="30" t="n">
        <v>34.1</v>
      </c>
      <c r="AR262" s="30" t="s">
        <v>1006</v>
      </c>
      <c r="AS262" s="30" t="n">
        <v>34.1</v>
      </c>
      <c r="AT262" s="30" t="s">
        <v>1006</v>
      </c>
      <c r="AU262" s="30" t="n">
        <v>253.96</v>
      </c>
      <c r="AV262" s="30" t="n">
        <v>0.14805</v>
      </c>
      <c r="AW262" s="30" t="s">
        <v>1013</v>
      </c>
      <c r="AX262" s="30" t="s">
        <v>1008</v>
      </c>
      <c r="AY262" s="30" t="n">
        <v>1</v>
      </c>
      <c r="AZ262" s="30"/>
    </row>
    <row collapsed="false" customFormat="true" customHeight="true" hidden="false" ht="33" outlineLevel="0" r="263" s="73">
      <c r="A263" s="30" t="n">
        <v>289</v>
      </c>
      <c r="B263" s="30" t="s">
        <v>445</v>
      </c>
      <c r="C263" s="30" t="s">
        <v>1009</v>
      </c>
      <c r="D263" s="30" t="s">
        <v>999</v>
      </c>
      <c r="E263" s="30" t="s">
        <v>1010</v>
      </c>
      <c r="F263" s="30" t="s">
        <v>1011</v>
      </c>
      <c r="G263" s="30" t="s">
        <v>1002</v>
      </c>
      <c r="H263" s="30" t="s">
        <v>1003</v>
      </c>
      <c r="I263" s="30" t="n">
        <v>0</v>
      </c>
      <c r="J263" s="30"/>
      <c r="K263" s="30" t="n">
        <v>57</v>
      </c>
      <c r="L263" s="30"/>
      <c r="M263" s="30" t="s">
        <v>1012</v>
      </c>
      <c r="N263" s="30" t="s">
        <v>54</v>
      </c>
      <c r="O263" s="30"/>
      <c r="P263" s="30"/>
      <c r="Q263" s="30"/>
      <c r="R263" s="30"/>
      <c r="S263" s="30"/>
      <c r="T263" s="30"/>
      <c r="U263" s="30" t="n">
        <v>247.14</v>
      </c>
      <c r="V263" s="30" t="n">
        <v>280.01</v>
      </c>
      <c r="W263" s="30" t="n">
        <v>37.94</v>
      </c>
      <c r="X263" s="30" t="s">
        <v>1006</v>
      </c>
      <c r="Y263" s="30" t="n">
        <v>37.94</v>
      </c>
      <c r="Z263" s="30" t="s">
        <v>1006</v>
      </c>
      <c r="AA263" s="30" t="n">
        <v>37.94</v>
      </c>
      <c r="AB263" s="30" t="s">
        <v>1006</v>
      </c>
      <c r="AC263" s="30" t="n">
        <v>37.94</v>
      </c>
      <c r="AD263" s="30" t="s">
        <v>1006</v>
      </c>
      <c r="AE263" s="30" t="n">
        <v>11.02</v>
      </c>
      <c r="AF263" s="30" t="s">
        <v>1006</v>
      </c>
      <c r="AG263" s="30" t="n">
        <v>0</v>
      </c>
      <c r="AH263" s="30" t="s">
        <v>1006</v>
      </c>
      <c r="AI263" s="30" t="n">
        <v>0</v>
      </c>
      <c r="AJ263" s="30" t="s">
        <v>1006</v>
      </c>
      <c r="AK263" s="30" t="n">
        <v>0</v>
      </c>
      <c r="AL263" s="30" t="s">
        <v>1006</v>
      </c>
      <c r="AM263" s="30" t="n">
        <v>0</v>
      </c>
      <c r="AN263" s="30" t="s">
        <v>1006</v>
      </c>
      <c r="AO263" s="30" t="n">
        <v>34.37</v>
      </c>
      <c r="AP263" s="30" t="s">
        <v>1006</v>
      </c>
      <c r="AQ263" s="30" t="n">
        <v>34.37</v>
      </c>
      <c r="AR263" s="30" t="s">
        <v>1006</v>
      </c>
      <c r="AS263" s="30" t="n">
        <v>34.37</v>
      </c>
      <c r="AT263" s="30" t="s">
        <v>1006</v>
      </c>
      <c r="AU263" s="30" t="n">
        <v>265.89</v>
      </c>
      <c r="AV263" s="30" t="n">
        <v>0.143</v>
      </c>
      <c r="AW263" s="30" t="s">
        <v>1013</v>
      </c>
      <c r="AX263" s="30" t="s">
        <v>1008</v>
      </c>
      <c r="AY263" s="30" t="n">
        <v>1</v>
      </c>
      <c r="AZ263" s="30"/>
    </row>
    <row collapsed="false" customFormat="true" customHeight="true" hidden="false" ht="33" outlineLevel="0" r="264" s="73">
      <c r="A264" s="30" t="n">
        <v>290</v>
      </c>
      <c r="B264" s="30" t="s">
        <v>446</v>
      </c>
      <c r="C264" s="30" t="s">
        <v>1009</v>
      </c>
      <c r="D264" s="30" t="s">
        <v>999</v>
      </c>
      <c r="E264" s="30" t="s">
        <v>1010</v>
      </c>
      <c r="F264" s="30" t="s">
        <v>1011</v>
      </c>
      <c r="G264" s="30" t="s">
        <v>1002</v>
      </c>
      <c r="H264" s="30" t="s">
        <v>1003</v>
      </c>
      <c r="I264" s="30" t="n">
        <v>1</v>
      </c>
      <c r="J264" s="30"/>
      <c r="K264" s="30"/>
      <c r="L264" s="30"/>
      <c r="M264" s="30" t="s">
        <v>1012</v>
      </c>
      <c r="N264" s="30" t="s">
        <v>54</v>
      </c>
      <c r="O264" s="30"/>
      <c r="P264" s="30"/>
      <c r="Q264" s="30"/>
      <c r="R264" s="30"/>
      <c r="S264" s="30"/>
      <c r="T264" s="30"/>
      <c r="U264" s="30" t="n">
        <v>168.74</v>
      </c>
      <c r="V264" s="30" t="n">
        <v>231.05</v>
      </c>
      <c r="W264" s="30" t="n">
        <v>22.31</v>
      </c>
      <c r="X264" s="30" t="s">
        <v>1006</v>
      </c>
      <c r="Y264" s="30" t="n">
        <v>22.31</v>
      </c>
      <c r="Z264" s="30" t="s">
        <v>1006</v>
      </c>
      <c r="AA264" s="30" t="n">
        <v>22.31</v>
      </c>
      <c r="AB264" s="30" t="s">
        <v>1006</v>
      </c>
      <c r="AC264" s="30" t="n">
        <v>15.06</v>
      </c>
      <c r="AD264" s="30" t="s">
        <v>1005</v>
      </c>
      <c r="AE264" s="30" t="n">
        <v>6.81</v>
      </c>
      <c r="AF264" s="30" t="s">
        <v>1005</v>
      </c>
      <c r="AG264" s="30" t="n">
        <v>0</v>
      </c>
      <c r="AH264" s="30" t="s">
        <v>1005</v>
      </c>
      <c r="AI264" s="30" t="n">
        <v>0</v>
      </c>
      <c r="AJ264" s="30" t="s">
        <v>1005</v>
      </c>
      <c r="AK264" s="30" t="n">
        <v>0</v>
      </c>
      <c r="AL264" s="30" t="s">
        <v>1005</v>
      </c>
      <c r="AM264" s="30" t="n">
        <v>0</v>
      </c>
      <c r="AN264" s="30" t="s">
        <v>1005</v>
      </c>
      <c r="AO264" s="30" t="n">
        <v>21.47</v>
      </c>
      <c r="AP264" s="30" t="s">
        <v>1006</v>
      </c>
      <c r="AQ264" s="30" t="n">
        <v>14.89</v>
      </c>
      <c r="AR264" s="30" t="s">
        <v>1005</v>
      </c>
      <c r="AS264" s="30" t="n">
        <v>27.26</v>
      </c>
      <c r="AT264" s="30" t="s">
        <v>1005</v>
      </c>
      <c r="AU264" s="30" t="n">
        <v>152.42</v>
      </c>
      <c r="AV264" s="30" t="n">
        <v>0.098</v>
      </c>
      <c r="AW264" s="30" t="s">
        <v>1013</v>
      </c>
      <c r="AX264" s="30" t="s">
        <v>1008</v>
      </c>
      <c r="AY264" s="30" t="n">
        <v>1</v>
      </c>
      <c r="AZ264" s="30"/>
    </row>
    <row collapsed="false" customFormat="true" customHeight="true" hidden="false" ht="33" outlineLevel="0" r="265" s="73">
      <c r="A265" s="30" t="n">
        <v>291</v>
      </c>
      <c r="B265" s="30" t="s">
        <v>447</v>
      </c>
      <c r="C265" s="30" t="s">
        <v>1009</v>
      </c>
      <c r="D265" s="30" t="s">
        <v>999</v>
      </c>
      <c r="E265" s="30" t="s">
        <v>1010</v>
      </c>
      <c r="F265" s="30" t="s">
        <v>1011</v>
      </c>
      <c r="G265" s="30" t="s">
        <v>1002</v>
      </c>
      <c r="H265" s="30" t="s">
        <v>1003</v>
      </c>
      <c r="I265" s="30" t="n">
        <v>1</v>
      </c>
      <c r="J265" s="30"/>
      <c r="K265" s="30" t="n">
        <v>57</v>
      </c>
      <c r="L265" s="30"/>
      <c r="M265" s="30" t="s">
        <v>1012</v>
      </c>
      <c r="N265" s="30" t="s">
        <v>54</v>
      </c>
      <c r="O265" s="30"/>
      <c r="P265" s="30"/>
      <c r="Q265" s="30"/>
      <c r="R265" s="30"/>
      <c r="S265" s="30"/>
      <c r="T265" s="30"/>
      <c r="U265" s="30" t="n">
        <v>247.14</v>
      </c>
      <c r="V265" s="30" t="n">
        <v>344.26</v>
      </c>
      <c r="W265" s="30" t="n">
        <v>34.94</v>
      </c>
      <c r="X265" s="30" t="s">
        <v>1006</v>
      </c>
      <c r="Y265" s="30" t="n">
        <v>34.94</v>
      </c>
      <c r="Z265" s="30" t="s">
        <v>1006</v>
      </c>
      <c r="AA265" s="30" t="n">
        <v>34.94</v>
      </c>
      <c r="AB265" s="30" t="s">
        <v>1006</v>
      </c>
      <c r="AC265" s="30" t="n">
        <v>25.96</v>
      </c>
      <c r="AD265" s="30" t="s">
        <v>1005</v>
      </c>
      <c r="AE265" s="30" t="n">
        <v>10.52</v>
      </c>
      <c r="AF265" s="30" t="s">
        <v>1005</v>
      </c>
      <c r="AG265" s="30" t="n">
        <v>0</v>
      </c>
      <c r="AH265" s="30" t="s">
        <v>1005</v>
      </c>
      <c r="AI265" s="30" t="n">
        <v>0</v>
      </c>
      <c r="AJ265" s="30" t="s">
        <v>1005</v>
      </c>
      <c r="AK265" s="30" t="n">
        <v>0</v>
      </c>
      <c r="AL265" s="30" t="s">
        <v>1005</v>
      </c>
      <c r="AM265" s="30" t="n">
        <v>0</v>
      </c>
      <c r="AN265" s="30" t="s">
        <v>1005</v>
      </c>
      <c r="AO265" s="30" t="n">
        <v>33.62</v>
      </c>
      <c r="AP265" s="30" t="s">
        <v>1006</v>
      </c>
      <c r="AQ265" s="30" t="n">
        <v>33.62</v>
      </c>
      <c r="AR265" s="30" t="s">
        <v>1006</v>
      </c>
      <c r="AS265" s="30" t="n">
        <v>23.14</v>
      </c>
      <c r="AT265" s="30" t="s">
        <v>1005</v>
      </c>
      <c r="AU265" s="30" t="n">
        <v>231.68</v>
      </c>
      <c r="AV265" s="30" t="n">
        <v>0.143</v>
      </c>
      <c r="AW265" s="30" t="s">
        <v>1013</v>
      </c>
      <c r="AX265" s="30" t="s">
        <v>1008</v>
      </c>
      <c r="AY265" s="30" t="n">
        <v>1</v>
      </c>
      <c r="AZ265" s="30"/>
    </row>
    <row collapsed="false" customFormat="true" customHeight="true" hidden="false" ht="33" outlineLevel="0" r="266" s="73">
      <c r="A266" s="30" t="n">
        <v>292</v>
      </c>
      <c r="B266" s="30" t="s">
        <v>448</v>
      </c>
      <c r="C266" s="30" t="s">
        <v>1009</v>
      </c>
      <c r="D266" s="30" t="s">
        <v>999</v>
      </c>
      <c r="E266" s="30" t="s">
        <v>1010</v>
      </c>
      <c r="F266" s="30" t="s">
        <v>1011</v>
      </c>
      <c r="G266" s="30" t="s">
        <v>1002</v>
      </c>
      <c r="H266" s="30" t="s">
        <v>1003</v>
      </c>
      <c r="I266" s="30" t="n">
        <v>1</v>
      </c>
      <c r="J266" s="30"/>
      <c r="K266" s="30" t="n">
        <v>57</v>
      </c>
      <c r="L266" s="30"/>
      <c r="M266" s="30" t="s">
        <v>1012</v>
      </c>
      <c r="N266" s="30" t="s">
        <v>54</v>
      </c>
      <c r="O266" s="30"/>
      <c r="P266" s="30"/>
      <c r="Q266" s="30"/>
      <c r="R266" s="30"/>
      <c r="S266" s="30"/>
      <c r="T266" s="30"/>
      <c r="U266" s="30" t="n">
        <v>241.66</v>
      </c>
      <c r="V266" s="30" t="n">
        <v>303.05</v>
      </c>
      <c r="W266" s="30" t="n">
        <v>86.36</v>
      </c>
      <c r="X266" s="30" t="s">
        <v>1006</v>
      </c>
      <c r="Y266" s="30" t="n">
        <v>51.24</v>
      </c>
      <c r="Z266" s="30" t="s">
        <v>1005</v>
      </c>
      <c r="AA266" s="30" t="n">
        <v>54.83</v>
      </c>
      <c r="AB266" s="30" t="s">
        <v>1005</v>
      </c>
      <c r="AC266" s="30" t="n">
        <v>29.15</v>
      </c>
      <c r="AD266" s="30" t="s">
        <v>1005</v>
      </c>
      <c r="AE266" s="30" t="n">
        <v>15.39</v>
      </c>
      <c r="AF266" s="30" t="s">
        <v>1005</v>
      </c>
      <c r="AG266" s="30" t="n">
        <v>0</v>
      </c>
      <c r="AH266" s="30" t="s">
        <v>1005</v>
      </c>
      <c r="AI266" s="30" t="n">
        <v>0</v>
      </c>
      <c r="AJ266" s="30" t="s">
        <v>1005</v>
      </c>
      <c r="AK266" s="30" t="n">
        <v>0</v>
      </c>
      <c r="AL266" s="30" t="s">
        <v>1005</v>
      </c>
      <c r="AM266" s="30" t="n">
        <v>0</v>
      </c>
      <c r="AN266" s="30" t="s">
        <v>1005</v>
      </c>
      <c r="AO266" s="30" t="n">
        <v>36.15</v>
      </c>
      <c r="AP266" s="30" t="s">
        <v>1005</v>
      </c>
      <c r="AQ266" s="30" t="n">
        <v>33.41</v>
      </c>
      <c r="AR266" s="30" t="s">
        <v>1005</v>
      </c>
      <c r="AS266" s="30" t="n">
        <v>40.16</v>
      </c>
      <c r="AT266" s="30" t="s">
        <v>1005</v>
      </c>
      <c r="AU266" s="30" t="n">
        <v>346.69</v>
      </c>
      <c r="AV266" s="30" t="n">
        <v>0.14757</v>
      </c>
      <c r="AW266" s="30" t="s">
        <v>1007</v>
      </c>
      <c r="AX266" s="30" t="s">
        <v>1008</v>
      </c>
      <c r="AY266" s="30" t="n">
        <v>1</v>
      </c>
      <c r="AZ266" s="30"/>
    </row>
    <row collapsed="false" customFormat="true" customHeight="true" hidden="false" ht="33" outlineLevel="0" r="267" s="73">
      <c r="A267" s="30" t="n">
        <v>293</v>
      </c>
      <c r="B267" s="30" t="s">
        <v>449</v>
      </c>
      <c r="C267" s="30" t="s">
        <v>1009</v>
      </c>
      <c r="D267" s="30" t="s">
        <v>999</v>
      </c>
      <c r="E267" s="30" t="s">
        <v>1010</v>
      </c>
      <c r="F267" s="30" t="s">
        <v>1011</v>
      </c>
      <c r="G267" s="30" t="s">
        <v>1002</v>
      </c>
      <c r="H267" s="30" t="s">
        <v>1003</v>
      </c>
      <c r="I267" s="30" t="n">
        <v>0</v>
      </c>
      <c r="J267" s="30"/>
      <c r="K267" s="30" t="n">
        <v>57</v>
      </c>
      <c r="L267" s="30"/>
      <c r="M267" s="30" t="s">
        <v>1012</v>
      </c>
      <c r="N267" s="30" t="s">
        <v>54</v>
      </c>
      <c r="O267" s="30"/>
      <c r="P267" s="30"/>
      <c r="Q267" s="30"/>
      <c r="R267" s="30"/>
      <c r="S267" s="30"/>
      <c r="T267" s="30"/>
      <c r="U267" s="30" t="n">
        <v>160.71</v>
      </c>
      <c r="V267" s="30" t="n">
        <v>174.05</v>
      </c>
      <c r="W267" s="30" t="n">
        <v>22.34</v>
      </c>
      <c r="X267" s="30" t="s">
        <v>1006</v>
      </c>
      <c r="Y267" s="30" t="n">
        <v>22.34</v>
      </c>
      <c r="Z267" s="30" t="s">
        <v>1006</v>
      </c>
      <c r="AA267" s="30" t="n">
        <v>22.34</v>
      </c>
      <c r="AB267" s="30" t="s">
        <v>1006</v>
      </c>
      <c r="AC267" s="30" t="n">
        <v>22.34</v>
      </c>
      <c r="AD267" s="30" t="s">
        <v>1006</v>
      </c>
      <c r="AE267" s="30" t="n">
        <v>6.48</v>
      </c>
      <c r="AF267" s="30" t="s">
        <v>1005</v>
      </c>
      <c r="AG267" s="30" t="n">
        <v>0</v>
      </c>
      <c r="AH267" s="30" t="s">
        <v>1005</v>
      </c>
      <c r="AI267" s="30" t="n">
        <v>0</v>
      </c>
      <c r="AJ267" s="30" t="s">
        <v>1005</v>
      </c>
      <c r="AK267" s="30" t="n">
        <v>0</v>
      </c>
      <c r="AL267" s="30" t="s">
        <v>1005</v>
      </c>
      <c r="AM267" s="30" t="n">
        <v>0</v>
      </c>
      <c r="AN267" s="30" t="s">
        <v>1005</v>
      </c>
      <c r="AO267" s="30" t="n">
        <v>21.48</v>
      </c>
      <c r="AP267" s="30" t="s">
        <v>1006</v>
      </c>
      <c r="AQ267" s="30" t="n">
        <v>21.48</v>
      </c>
      <c r="AR267" s="30" t="s">
        <v>1006</v>
      </c>
      <c r="AS267" s="30" t="n">
        <v>21.48</v>
      </c>
      <c r="AT267" s="30" t="s">
        <v>1006</v>
      </c>
      <c r="AU267" s="30" t="n">
        <v>160.28</v>
      </c>
      <c r="AV267" s="30" t="n">
        <v>0.093</v>
      </c>
      <c r="AW267" s="30" t="s">
        <v>1013</v>
      </c>
      <c r="AX267" s="30" t="s">
        <v>1008</v>
      </c>
      <c r="AY267" s="30" t="n">
        <v>1</v>
      </c>
      <c r="AZ267" s="30"/>
    </row>
    <row collapsed="false" customFormat="true" customHeight="true" hidden="false" ht="33" outlineLevel="0" r="268" s="73">
      <c r="A268" s="30" t="n">
        <v>294</v>
      </c>
      <c r="B268" s="30" t="s">
        <v>450</v>
      </c>
      <c r="C268" s="30" t="s">
        <v>1009</v>
      </c>
      <c r="D268" s="30" t="s">
        <v>999</v>
      </c>
      <c r="E268" s="30" t="s">
        <v>1010</v>
      </c>
      <c r="F268" s="30" t="s">
        <v>1011</v>
      </c>
      <c r="G268" s="30" t="s">
        <v>1002</v>
      </c>
      <c r="H268" s="30" t="s">
        <v>1003</v>
      </c>
      <c r="I268" s="30" t="n">
        <v>1</v>
      </c>
      <c r="J268" s="30"/>
      <c r="K268" s="30" t="n">
        <v>57</v>
      </c>
      <c r="L268" s="30"/>
      <c r="M268" s="30" t="s">
        <v>1012</v>
      </c>
      <c r="N268" s="30" t="s">
        <v>53</v>
      </c>
      <c r="O268" s="30"/>
      <c r="P268" s="30"/>
      <c r="Q268" s="30"/>
      <c r="R268" s="30"/>
      <c r="S268" s="30"/>
      <c r="T268" s="30"/>
      <c r="U268" s="30" t="n">
        <v>804.8</v>
      </c>
      <c r="V268" s="30" t="n">
        <v>813.75</v>
      </c>
      <c r="W268" s="30" t="n">
        <v>72.24</v>
      </c>
      <c r="X268" s="30" t="s">
        <v>1005</v>
      </c>
      <c r="Y268" s="30" t="n">
        <v>71.29</v>
      </c>
      <c r="Z268" s="30" t="s">
        <v>1005</v>
      </c>
      <c r="AA268" s="30" t="n">
        <v>72.15</v>
      </c>
      <c r="AB268" s="30" t="s">
        <v>1006</v>
      </c>
      <c r="AC268" s="30" t="n">
        <v>57.11</v>
      </c>
      <c r="AD268" s="30" t="s">
        <v>1005</v>
      </c>
      <c r="AE268" s="30" t="n">
        <v>38.5</v>
      </c>
      <c r="AF268" s="30" t="s">
        <v>1005</v>
      </c>
      <c r="AG268" s="30" t="n">
        <v>18.04</v>
      </c>
      <c r="AH268" s="30" t="s">
        <v>1006</v>
      </c>
      <c r="AI268" s="30" t="n">
        <v>12.83</v>
      </c>
      <c r="AJ268" s="30" t="s">
        <v>1006</v>
      </c>
      <c r="AK268" s="30" t="n">
        <v>16.29</v>
      </c>
      <c r="AL268" s="30" t="s">
        <v>1006</v>
      </c>
      <c r="AM268" s="30" t="n">
        <v>16.57</v>
      </c>
      <c r="AN268" s="30" t="s">
        <v>1006</v>
      </c>
      <c r="AO268" s="30" t="n">
        <v>62.4</v>
      </c>
      <c r="AP268" s="30" t="s">
        <v>1005</v>
      </c>
      <c r="AQ268" s="30" t="n">
        <v>71.07</v>
      </c>
      <c r="AR268" s="30" t="s">
        <v>1005</v>
      </c>
      <c r="AS268" s="30" t="n">
        <v>88.52</v>
      </c>
      <c r="AT268" s="30" t="s">
        <v>1005</v>
      </c>
      <c r="AU268" s="30" t="n">
        <v>597.01</v>
      </c>
      <c r="AV268" s="30" t="n">
        <v>0.235</v>
      </c>
      <c r="AW268" s="30" t="s">
        <v>1013</v>
      </c>
      <c r="AX268" s="30" t="s">
        <v>1008</v>
      </c>
      <c r="AY268" s="30" t="n">
        <v>1</v>
      </c>
      <c r="AZ268" s="30"/>
    </row>
    <row collapsed="false" customFormat="true" customHeight="true" hidden="false" ht="33" outlineLevel="0" r="269" s="73">
      <c r="A269" s="30" t="n">
        <v>295</v>
      </c>
      <c r="B269" s="30" t="s">
        <v>452</v>
      </c>
      <c r="C269" s="30" t="s">
        <v>1009</v>
      </c>
      <c r="D269" s="30" t="s">
        <v>999</v>
      </c>
      <c r="E269" s="30" t="s">
        <v>1010</v>
      </c>
      <c r="F269" s="30" t="s">
        <v>1011</v>
      </c>
      <c r="G269" s="30" t="s">
        <v>1002</v>
      </c>
      <c r="H269" s="30" t="s">
        <v>1003</v>
      </c>
      <c r="I269" s="30" t="n">
        <v>1</v>
      </c>
      <c r="J269" s="30"/>
      <c r="K269" s="30" t="n">
        <v>76</v>
      </c>
      <c r="L269" s="30"/>
      <c r="M269" s="30" t="s">
        <v>1012</v>
      </c>
      <c r="N269" s="30" t="s">
        <v>54</v>
      </c>
      <c r="O269" s="30"/>
      <c r="P269" s="30"/>
      <c r="Q269" s="30"/>
      <c r="R269" s="30"/>
      <c r="S269" s="30"/>
      <c r="T269" s="30"/>
      <c r="U269" s="30" t="n">
        <v>622.58</v>
      </c>
      <c r="V269" s="30" t="n">
        <v>827.99</v>
      </c>
      <c r="W269" s="30" t="n">
        <v>158.58</v>
      </c>
      <c r="X269" s="30" t="s">
        <v>1005</v>
      </c>
      <c r="Y269" s="30" t="n">
        <v>98.07</v>
      </c>
      <c r="Z269" s="30" t="s">
        <v>1005</v>
      </c>
      <c r="AA269" s="30" t="n">
        <v>103.61</v>
      </c>
      <c r="AB269" s="30" t="s">
        <v>1006</v>
      </c>
      <c r="AC269" s="30" t="n">
        <v>58.16</v>
      </c>
      <c r="AD269" s="30" t="s">
        <v>1005</v>
      </c>
      <c r="AE269" s="30" t="n">
        <v>27.38</v>
      </c>
      <c r="AF269" s="30" t="s">
        <v>1005</v>
      </c>
      <c r="AG269" s="30" t="n">
        <v>0</v>
      </c>
      <c r="AH269" s="30" t="s">
        <v>1005</v>
      </c>
      <c r="AI269" s="30" t="n">
        <v>0</v>
      </c>
      <c r="AJ269" s="30" t="s">
        <v>1005</v>
      </c>
      <c r="AK269" s="30" t="n">
        <v>0</v>
      </c>
      <c r="AL269" s="30" t="s">
        <v>1005</v>
      </c>
      <c r="AM269" s="30" t="n">
        <v>0</v>
      </c>
      <c r="AN269" s="30" t="s">
        <v>1005</v>
      </c>
      <c r="AO269" s="30" t="n">
        <v>68.32</v>
      </c>
      <c r="AP269" s="30" t="s">
        <v>1005</v>
      </c>
      <c r="AQ269" s="30" t="n">
        <v>65.4</v>
      </c>
      <c r="AR269" s="30" t="s">
        <v>1005</v>
      </c>
      <c r="AS269" s="30" t="n">
        <v>91.87</v>
      </c>
      <c r="AT269" s="30" t="s">
        <v>1005</v>
      </c>
      <c r="AU269" s="30" t="n">
        <v>671.39</v>
      </c>
      <c r="AV269" s="30" t="n">
        <v>0.375</v>
      </c>
      <c r="AW269" s="30" t="s">
        <v>1013</v>
      </c>
      <c r="AX269" s="30" t="s">
        <v>1008</v>
      </c>
      <c r="AY269" s="30" t="n">
        <v>1</v>
      </c>
      <c r="AZ269" s="30"/>
    </row>
    <row collapsed="false" customFormat="true" customHeight="true" hidden="false" ht="33" outlineLevel="0" r="270" s="73">
      <c r="A270" s="30" t="n">
        <v>296</v>
      </c>
      <c r="B270" s="30" t="s">
        <v>453</v>
      </c>
      <c r="C270" s="30" t="s">
        <v>1009</v>
      </c>
      <c r="D270" s="30" t="s">
        <v>999</v>
      </c>
      <c r="E270" s="30" t="s">
        <v>1010</v>
      </c>
      <c r="F270" s="30" t="s">
        <v>1011</v>
      </c>
      <c r="G270" s="30" t="s">
        <v>1002</v>
      </c>
      <c r="H270" s="30" t="s">
        <v>1003</v>
      </c>
      <c r="I270" s="30" t="n">
        <v>1</v>
      </c>
      <c r="J270" s="30"/>
      <c r="K270" s="30" t="n">
        <v>76</v>
      </c>
      <c r="L270" s="30"/>
      <c r="M270" s="30" t="s">
        <v>1012</v>
      </c>
      <c r="N270" s="30" t="s">
        <v>54</v>
      </c>
      <c r="O270" s="30"/>
      <c r="P270" s="30"/>
      <c r="Q270" s="30"/>
      <c r="R270" s="30"/>
      <c r="S270" s="30"/>
      <c r="T270" s="30"/>
      <c r="U270" s="30" t="n">
        <v>563.92</v>
      </c>
      <c r="V270" s="30" t="n">
        <v>784.62</v>
      </c>
      <c r="W270" s="30" t="n">
        <v>167.25</v>
      </c>
      <c r="X270" s="30" t="s">
        <v>1005</v>
      </c>
      <c r="Y270" s="30" t="n">
        <v>117.39</v>
      </c>
      <c r="Z270" s="30" t="s">
        <v>1005</v>
      </c>
      <c r="AA270" s="30" t="n">
        <v>157.1</v>
      </c>
      <c r="AB270" s="30" t="s">
        <v>1005</v>
      </c>
      <c r="AC270" s="30" t="n">
        <v>52.78</v>
      </c>
      <c r="AD270" s="30" t="s">
        <v>1005</v>
      </c>
      <c r="AE270" s="30" t="n">
        <v>31.49</v>
      </c>
      <c r="AF270" s="30" t="s">
        <v>1005</v>
      </c>
      <c r="AG270" s="30" t="n">
        <v>0</v>
      </c>
      <c r="AH270" s="30" t="s">
        <v>1005</v>
      </c>
      <c r="AI270" s="30" t="n">
        <v>0</v>
      </c>
      <c r="AJ270" s="30" t="s">
        <v>1005</v>
      </c>
      <c r="AK270" s="30" t="n">
        <v>0</v>
      </c>
      <c r="AL270" s="30" t="s">
        <v>1005</v>
      </c>
      <c r="AM270" s="30" t="n">
        <v>0</v>
      </c>
      <c r="AN270" s="30" t="s">
        <v>1005</v>
      </c>
      <c r="AO270" s="30" t="n">
        <v>63.56</v>
      </c>
      <c r="AP270" s="30" t="s">
        <v>1005</v>
      </c>
      <c r="AQ270" s="30" t="n">
        <v>69.23</v>
      </c>
      <c r="AR270" s="30" t="s">
        <v>1005</v>
      </c>
      <c r="AS270" s="30" t="n">
        <v>83.65</v>
      </c>
      <c r="AT270" s="30" t="s">
        <v>1005</v>
      </c>
      <c r="AU270" s="30" t="n">
        <v>742.45</v>
      </c>
      <c r="AV270" s="30" t="n">
        <v>0.328</v>
      </c>
      <c r="AW270" s="30" t="s">
        <v>1013</v>
      </c>
      <c r="AX270" s="30" t="s">
        <v>1008</v>
      </c>
      <c r="AY270" s="30" t="n">
        <v>1</v>
      </c>
      <c r="AZ270" s="30"/>
    </row>
    <row collapsed="false" customFormat="true" customHeight="true" hidden="false" ht="33" outlineLevel="0" r="271" s="73">
      <c r="A271" s="30" t="n">
        <v>297</v>
      </c>
      <c r="B271" s="30" t="s">
        <v>454</v>
      </c>
      <c r="C271" s="30" t="s">
        <v>1009</v>
      </c>
      <c r="D271" s="30" t="s">
        <v>999</v>
      </c>
      <c r="E271" s="30" t="s">
        <v>1010</v>
      </c>
      <c r="F271" s="30" t="s">
        <v>1011</v>
      </c>
      <c r="G271" s="30" t="s">
        <v>1002</v>
      </c>
      <c r="H271" s="30" t="s">
        <v>1003</v>
      </c>
      <c r="I271" s="30" t="n">
        <v>1</v>
      </c>
      <c r="J271" s="30"/>
      <c r="K271" s="30" t="n">
        <v>76</v>
      </c>
      <c r="L271" s="30"/>
      <c r="M271" s="30" t="s">
        <v>1012</v>
      </c>
      <c r="N271" s="30" t="s">
        <v>54</v>
      </c>
      <c r="O271" s="30"/>
      <c r="P271" s="30"/>
      <c r="Q271" s="30"/>
      <c r="R271" s="30"/>
      <c r="S271" s="30"/>
      <c r="T271" s="30"/>
      <c r="U271" s="30" t="n">
        <v>552.78</v>
      </c>
      <c r="V271" s="30" t="n">
        <v>875.46</v>
      </c>
      <c r="W271" s="30" t="n">
        <v>148.89</v>
      </c>
      <c r="X271" s="30" t="s">
        <v>1005</v>
      </c>
      <c r="Y271" s="30" t="n">
        <v>100.55</v>
      </c>
      <c r="Z271" s="30" t="s">
        <v>1005</v>
      </c>
      <c r="AA271" s="30" t="n">
        <v>99.31</v>
      </c>
      <c r="AB271" s="30" t="s">
        <v>1006</v>
      </c>
      <c r="AC271" s="30" t="n">
        <v>61.23</v>
      </c>
      <c r="AD271" s="30" t="s">
        <v>1005</v>
      </c>
      <c r="AE271" s="30" t="n">
        <v>28.54</v>
      </c>
      <c r="AF271" s="30" t="s">
        <v>1005</v>
      </c>
      <c r="AG271" s="30" t="n">
        <v>0</v>
      </c>
      <c r="AH271" s="30" t="s">
        <v>1005</v>
      </c>
      <c r="AI271" s="30" t="n">
        <v>0</v>
      </c>
      <c r="AJ271" s="30" t="s">
        <v>1005</v>
      </c>
      <c r="AK271" s="30" t="n">
        <v>0</v>
      </c>
      <c r="AL271" s="30" t="s">
        <v>1005</v>
      </c>
      <c r="AM271" s="30" t="n">
        <v>0</v>
      </c>
      <c r="AN271" s="30" t="s">
        <v>1005</v>
      </c>
      <c r="AO271" s="30" t="n">
        <v>79.87</v>
      </c>
      <c r="AP271" s="30" t="s">
        <v>1005</v>
      </c>
      <c r="AQ271" s="30" t="n">
        <v>76.26</v>
      </c>
      <c r="AR271" s="30" t="s">
        <v>1005</v>
      </c>
      <c r="AS271" s="30" t="n">
        <v>95.37</v>
      </c>
      <c r="AT271" s="30" t="s">
        <v>1005</v>
      </c>
      <c r="AU271" s="30" t="n">
        <v>690.02</v>
      </c>
      <c r="AV271" s="30" t="n">
        <v>0.321</v>
      </c>
      <c r="AW271" s="30" t="s">
        <v>1013</v>
      </c>
      <c r="AX271" s="30" t="s">
        <v>1008</v>
      </c>
      <c r="AY271" s="30" t="n">
        <v>1</v>
      </c>
      <c r="AZ271" s="30"/>
    </row>
    <row collapsed="false" customFormat="true" customHeight="true" hidden="false" ht="33" outlineLevel="0" r="272" s="73">
      <c r="A272" s="30" t="n">
        <v>298</v>
      </c>
      <c r="B272" s="30" t="s">
        <v>455</v>
      </c>
      <c r="C272" s="30" t="s">
        <v>1009</v>
      </c>
      <c r="D272" s="30" t="s">
        <v>999</v>
      </c>
      <c r="E272" s="30" t="s">
        <v>1010</v>
      </c>
      <c r="F272" s="30" t="s">
        <v>1011</v>
      </c>
      <c r="G272" s="30" t="s">
        <v>1002</v>
      </c>
      <c r="H272" s="30" t="s">
        <v>1003</v>
      </c>
      <c r="I272" s="30" t="n">
        <v>1</v>
      </c>
      <c r="J272" s="30"/>
      <c r="K272" s="30" t="n">
        <v>57</v>
      </c>
      <c r="L272" s="30"/>
      <c r="M272" s="30" t="s">
        <v>1012</v>
      </c>
      <c r="N272" s="30" t="s">
        <v>53</v>
      </c>
      <c r="O272" s="30"/>
      <c r="P272" s="30"/>
      <c r="Q272" s="30"/>
      <c r="R272" s="30"/>
      <c r="S272" s="30"/>
      <c r="T272" s="30"/>
      <c r="U272" s="30" t="n">
        <v>622.61</v>
      </c>
      <c r="V272" s="30" t="n">
        <v>672.44</v>
      </c>
      <c r="W272" s="30" t="n">
        <v>77.39</v>
      </c>
      <c r="X272" s="30" t="s">
        <v>1006</v>
      </c>
      <c r="Y272" s="30" t="n">
        <v>72.12</v>
      </c>
      <c r="Z272" s="30" t="s">
        <v>1005</v>
      </c>
      <c r="AA272" s="30" t="n">
        <v>105.03</v>
      </c>
      <c r="AB272" s="30" t="s">
        <v>1005</v>
      </c>
      <c r="AC272" s="30" t="n">
        <v>50.82</v>
      </c>
      <c r="AD272" s="30" t="s">
        <v>1005</v>
      </c>
      <c r="AE272" s="30" t="n">
        <v>37.95</v>
      </c>
      <c r="AF272" s="30" t="s">
        <v>1005</v>
      </c>
      <c r="AG272" s="30" t="n">
        <v>19.94</v>
      </c>
      <c r="AH272" s="30" t="s">
        <v>1006</v>
      </c>
      <c r="AI272" s="30" t="n">
        <v>15.92</v>
      </c>
      <c r="AJ272" s="30" t="s">
        <v>1006</v>
      </c>
      <c r="AK272" s="30" t="n">
        <v>18.03</v>
      </c>
      <c r="AL272" s="30" t="s">
        <v>1006</v>
      </c>
      <c r="AM272" s="30" t="n">
        <v>17.35</v>
      </c>
      <c r="AN272" s="30" t="s">
        <v>1006</v>
      </c>
      <c r="AO272" s="30" t="n">
        <v>59.14</v>
      </c>
      <c r="AP272" s="30" t="s">
        <v>1005</v>
      </c>
      <c r="AQ272" s="30" t="n">
        <v>63.62</v>
      </c>
      <c r="AR272" s="30" t="s">
        <v>1005</v>
      </c>
      <c r="AS272" s="30" t="n">
        <v>70.73</v>
      </c>
      <c r="AT272" s="30" t="s">
        <v>1005</v>
      </c>
      <c r="AU272" s="30" t="n">
        <v>608.04</v>
      </c>
      <c r="AV272" s="30" t="n">
        <v>0.218</v>
      </c>
      <c r="AW272" s="30" t="s">
        <v>1013</v>
      </c>
      <c r="AX272" s="30" t="s">
        <v>1008</v>
      </c>
      <c r="AY272" s="30" t="n">
        <v>1</v>
      </c>
      <c r="AZ272" s="30"/>
    </row>
    <row collapsed="false" customFormat="true" customHeight="true" hidden="false" ht="33" outlineLevel="0" r="273" s="73">
      <c r="A273" s="30" t="n">
        <v>299</v>
      </c>
      <c r="B273" s="30" t="s">
        <v>456</v>
      </c>
      <c r="C273" s="30" t="s">
        <v>1009</v>
      </c>
      <c r="D273" s="30" t="s">
        <v>999</v>
      </c>
      <c r="E273" s="30" t="s">
        <v>1010</v>
      </c>
      <c r="F273" s="30" t="s">
        <v>1011</v>
      </c>
      <c r="G273" s="30" t="s">
        <v>1002</v>
      </c>
      <c r="H273" s="30" t="s">
        <v>1003</v>
      </c>
      <c r="I273" s="30" t="n">
        <v>1</v>
      </c>
      <c r="J273" s="30"/>
      <c r="K273" s="30" t="n">
        <v>76</v>
      </c>
      <c r="L273" s="30"/>
      <c r="M273" s="30" t="s">
        <v>1012</v>
      </c>
      <c r="N273" s="30" t="s">
        <v>54</v>
      </c>
      <c r="O273" s="30"/>
      <c r="P273" s="30"/>
      <c r="Q273" s="30"/>
      <c r="R273" s="30"/>
      <c r="S273" s="30"/>
      <c r="T273" s="30"/>
      <c r="U273" s="30" t="n">
        <v>578.72</v>
      </c>
      <c r="V273" s="30" t="n">
        <v>804.37</v>
      </c>
      <c r="W273" s="30" t="n">
        <v>130.99</v>
      </c>
      <c r="X273" s="30" t="s">
        <v>1005</v>
      </c>
      <c r="Y273" s="30" t="n">
        <v>86.49</v>
      </c>
      <c r="Z273" s="30" t="s">
        <v>1005</v>
      </c>
      <c r="AA273" s="30" t="n">
        <v>97.28</v>
      </c>
      <c r="AB273" s="30" t="s">
        <v>1006</v>
      </c>
      <c r="AC273" s="30" t="n">
        <v>56.48</v>
      </c>
      <c r="AD273" s="30" t="s">
        <v>1005</v>
      </c>
      <c r="AE273" s="30" t="n">
        <v>26.65</v>
      </c>
      <c r="AF273" s="30" t="s">
        <v>1005</v>
      </c>
      <c r="AG273" s="30" t="n">
        <v>0</v>
      </c>
      <c r="AH273" s="30" t="s">
        <v>1005</v>
      </c>
      <c r="AI273" s="30" t="n">
        <v>0</v>
      </c>
      <c r="AJ273" s="30" t="s">
        <v>1005</v>
      </c>
      <c r="AK273" s="30" t="n">
        <v>0</v>
      </c>
      <c r="AL273" s="30" t="s">
        <v>1005</v>
      </c>
      <c r="AM273" s="30" t="n">
        <v>0</v>
      </c>
      <c r="AN273" s="30" t="s">
        <v>1005</v>
      </c>
      <c r="AO273" s="30" t="n">
        <v>49.49</v>
      </c>
      <c r="AP273" s="30" t="s">
        <v>1005</v>
      </c>
      <c r="AQ273" s="30" t="n">
        <v>54.38</v>
      </c>
      <c r="AR273" s="30" t="s">
        <v>1005</v>
      </c>
      <c r="AS273" s="30" t="n">
        <v>81.48</v>
      </c>
      <c r="AT273" s="30" t="s">
        <v>1005</v>
      </c>
      <c r="AU273" s="30" t="n">
        <v>583.24</v>
      </c>
      <c r="AV273" s="30" t="n">
        <v>0.32631</v>
      </c>
      <c r="AW273" s="30" t="s">
        <v>1013</v>
      </c>
      <c r="AX273" s="30" t="s">
        <v>1008</v>
      </c>
      <c r="AY273" s="30" t="n">
        <v>1</v>
      </c>
      <c r="AZ273" s="30"/>
    </row>
    <row collapsed="false" customFormat="true" customHeight="true" hidden="false" ht="33" outlineLevel="0" r="274" s="73">
      <c r="A274" s="30" t="n">
        <v>300</v>
      </c>
      <c r="B274" s="30" t="s">
        <v>457</v>
      </c>
      <c r="C274" s="30" t="s">
        <v>1009</v>
      </c>
      <c r="D274" s="30" t="s">
        <v>999</v>
      </c>
      <c r="E274" s="30" t="s">
        <v>1010</v>
      </c>
      <c r="F274" s="30" t="s">
        <v>1011</v>
      </c>
      <c r="G274" s="30" t="s">
        <v>1002</v>
      </c>
      <c r="H274" s="30" t="s">
        <v>1003</v>
      </c>
      <c r="I274" s="30" t="n">
        <v>1</v>
      </c>
      <c r="J274" s="30"/>
      <c r="K274" s="30" t="n">
        <v>57</v>
      </c>
      <c r="L274" s="30"/>
      <c r="M274" s="30" t="s">
        <v>1012</v>
      </c>
      <c r="N274" s="30" t="s">
        <v>53</v>
      </c>
      <c r="O274" s="30"/>
      <c r="P274" s="30"/>
      <c r="Q274" s="30"/>
      <c r="R274" s="30"/>
      <c r="S274" s="30"/>
      <c r="T274" s="30"/>
      <c r="U274" s="30" t="n">
        <v>606.47</v>
      </c>
      <c r="V274" s="30" t="n">
        <v>671.5</v>
      </c>
      <c r="W274" s="30" t="n">
        <v>76.82</v>
      </c>
      <c r="X274" s="30" t="s">
        <v>1006</v>
      </c>
      <c r="Y274" s="30" t="n">
        <v>66.73</v>
      </c>
      <c r="Z274" s="30" t="s">
        <v>1005</v>
      </c>
      <c r="AA274" s="30" t="n">
        <v>92.73</v>
      </c>
      <c r="AB274" s="30" t="s">
        <v>1005</v>
      </c>
      <c r="AC274" s="30" t="n">
        <v>44.06</v>
      </c>
      <c r="AD274" s="30" t="s">
        <v>1005</v>
      </c>
      <c r="AE274" s="30" t="n">
        <v>36.25</v>
      </c>
      <c r="AF274" s="30" t="s">
        <v>1006</v>
      </c>
      <c r="AG274" s="30" t="n">
        <v>17.28</v>
      </c>
      <c r="AH274" s="30" t="s">
        <v>1006</v>
      </c>
      <c r="AI274" s="30" t="n">
        <v>12.63</v>
      </c>
      <c r="AJ274" s="30" t="s">
        <v>1006</v>
      </c>
      <c r="AK274" s="30" t="n">
        <v>14.48</v>
      </c>
      <c r="AL274" s="30" t="s">
        <v>1006</v>
      </c>
      <c r="AM274" s="30" t="n">
        <v>14.95</v>
      </c>
      <c r="AN274" s="30" t="s">
        <v>1006</v>
      </c>
      <c r="AO274" s="30" t="n">
        <v>45.32</v>
      </c>
      <c r="AP274" s="30" t="s">
        <v>1006</v>
      </c>
      <c r="AQ274" s="30" t="n">
        <v>33.51</v>
      </c>
      <c r="AR274" s="30" t="s">
        <v>1005</v>
      </c>
      <c r="AS274" s="30" t="n">
        <v>51.77</v>
      </c>
      <c r="AT274" s="30" t="s">
        <v>1005</v>
      </c>
      <c r="AU274" s="30" t="n">
        <v>506.53</v>
      </c>
      <c r="AV274" s="30" t="n">
        <v>0.218</v>
      </c>
      <c r="AW274" s="30" t="s">
        <v>1013</v>
      </c>
      <c r="AX274" s="30" t="s">
        <v>1008</v>
      </c>
      <c r="AY274" s="30" t="n">
        <v>1</v>
      </c>
      <c r="AZ274" s="30"/>
    </row>
    <row collapsed="false" customFormat="true" customHeight="true" hidden="false" ht="33" outlineLevel="0" r="275" s="73">
      <c r="A275" s="30" t="n">
        <v>301</v>
      </c>
      <c r="B275" s="30" t="s">
        <v>458</v>
      </c>
      <c r="C275" s="30" t="s">
        <v>1009</v>
      </c>
      <c r="D275" s="30" t="s">
        <v>999</v>
      </c>
      <c r="E275" s="30" t="s">
        <v>1010</v>
      </c>
      <c r="F275" s="30" t="s">
        <v>1011</v>
      </c>
      <c r="G275" s="30" t="s">
        <v>1002</v>
      </c>
      <c r="H275" s="30" t="s">
        <v>1003</v>
      </c>
      <c r="I275" s="30" t="n">
        <v>2</v>
      </c>
      <c r="J275" s="30"/>
      <c r="K275" s="30" t="n">
        <v>76</v>
      </c>
      <c r="L275" s="30"/>
      <c r="M275" s="30" t="s">
        <v>1015</v>
      </c>
      <c r="N275" s="30" t="s">
        <v>54</v>
      </c>
      <c r="O275" s="30"/>
      <c r="P275" s="30"/>
      <c r="Q275" s="30"/>
      <c r="R275" s="30"/>
      <c r="S275" s="30"/>
      <c r="T275" s="30"/>
      <c r="U275" s="30" t="n">
        <v>1014.25</v>
      </c>
      <c r="V275" s="30" t="n">
        <v>1149.81</v>
      </c>
      <c r="W275" s="30" t="n">
        <v>207.27</v>
      </c>
      <c r="X275" s="30" t="s">
        <v>1005</v>
      </c>
      <c r="Y275" s="30" t="n">
        <v>101.76</v>
      </c>
      <c r="Z275" s="30" t="s">
        <v>1005</v>
      </c>
      <c r="AA275" s="30" t="n">
        <v>175.86</v>
      </c>
      <c r="AB275" s="30" t="s">
        <v>1006</v>
      </c>
      <c r="AC275" s="30" t="n">
        <v>175.86</v>
      </c>
      <c r="AD275" s="30" t="s">
        <v>1006</v>
      </c>
      <c r="AE275" s="30" t="n">
        <v>51.04</v>
      </c>
      <c r="AF275" s="30" t="s">
        <v>1006</v>
      </c>
      <c r="AG275" s="30" t="n">
        <v>0</v>
      </c>
      <c r="AH275" s="30" t="s">
        <v>1006</v>
      </c>
      <c r="AI275" s="30" t="n">
        <v>0</v>
      </c>
      <c r="AJ275" s="30" t="s">
        <v>1006</v>
      </c>
      <c r="AK275" s="30" t="n">
        <v>0</v>
      </c>
      <c r="AL275" s="30" t="s">
        <v>1006</v>
      </c>
      <c r="AM275" s="30" t="n">
        <v>0</v>
      </c>
      <c r="AN275" s="30" t="s">
        <v>1006</v>
      </c>
      <c r="AO275" s="30" t="n">
        <v>94.54</v>
      </c>
      <c r="AP275" s="30" t="s">
        <v>1006</v>
      </c>
      <c r="AQ275" s="30" t="n">
        <v>71.3</v>
      </c>
      <c r="AR275" s="30" t="s">
        <v>1005</v>
      </c>
      <c r="AS275" s="30" t="n">
        <v>130.97</v>
      </c>
      <c r="AT275" s="30" t="s">
        <v>1005</v>
      </c>
      <c r="AU275" s="30" t="n">
        <v>1008.6</v>
      </c>
      <c r="AV275" s="30" t="n">
        <v>0.582</v>
      </c>
      <c r="AW275" s="30" t="s">
        <v>1013</v>
      </c>
      <c r="AX275" s="30" t="s">
        <v>1008</v>
      </c>
      <c r="AY275" s="30" t="n">
        <v>2</v>
      </c>
      <c r="AZ275" s="30"/>
    </row>
    <row collapsed="false" customFormat="true" customHeight="true" hidden="false" ht="33" outlineLevel="0" r="276" s="73">
      <c r="A276" s="30" t="n">
        <v>302</v>
      </c>
      <c r="B276" s="30" t="s">
        <v>459</v>
      </c>
      <c r="C276" s="30" t="s">
        <v>1009</v>
      </c>
      <c r="D276" s="30" t="s">
        <v>999</v>
      </c>
      <c r="E276" s="30" t="s">
        <v>1010</v>
      </c>
      <c r="F276" s="30" t="s">
        <v>1011</v>
      </c>
      <c r="G276" s="30" t="s">
        <v>1002</v>
      </c>
      <c r="H276" s="30" t="s">
        <v>1003</v>
      </c>
      <c r="I276" s="30" t="n">
        <v>1</v>
      </c>
      <c r="J276" s="30"/>
      <c r="K276" s="30" t="n">
        <v>76</v>
      </c>
      <c r="L276" s="30"/>
      <c r="M276" s="30" t="s">
        <v>1015</v>
      </c>
      <c r="N276" s="30" t="s">
        <v>54</v>
      </c>
      <c r="O276" s="30"/>
      <c r="P276" s="30"/>
      <c r="Q276" s="30"/>
      <c r="R276" s="30"/>
      <c r="S276" s="30"/>
      <c r="T276" s="30"/>
      <c r="U276" s="30" t="n">
        <v>439.98</v>
      </c>
      <c r="V276" s="30" t="n">
        <v>560.47</v>
      </c>
      <c r="W276" s="30" t="n">
        <v>82.85</v>
      </c>
      <c r="X276" s="30" t="s">
        <v>1006</v>
      </c>
      <c r="Y276" s="30" t="n">
        <v>76.14</v>
      </c>
      <c r="Z276" s="30" t="s">
        <v>1005</v>
      </c>
      <c r="AA276" s="30" t="n">
        <v>82.85</v>
      </c>
      <c r="AB276" s="30" t="s">
        <v>1006</v>
      </c>
      <c r="AC276" s="30" t="n">
        <v>47.35</v>
      </c>
      <c r="AD276" s="30" t="s">
        <v>1005</v>
      </c>
      <c r="AE276" s="30" t="n">
        <v>23.85</v>
      </c>
      <c r="AF276" s="30" t="s">
        <v>1005</v>
      </c>
      <c r="AG276" s="30" t="n">
        <v>0</v>
      </c>
      <c r="AH276" s="30" t="s">
        <v>1005</v>
      </c>
      <c r="AI276" s="30" t="n">
        <v>0</v>
      </c>
      <c r="AJ276" s="30" t="s">
        <v>1005</v>
      </c>
      <c r="AK276" s="30" t="n">
        <v>0</v>
      </c>
      <c r="AL276" s="30" t="s">
        <v>1005</v>
      </c>
      <c r="AM276" s="30" t="n">
        <v>0</v>
      </c>
      <c r="AN276" s="30" t="s">
        <v>1005</v>
      </c>
      <c r="AO276" s="30" t="n">
        <v>80.01</v>
      </c>
      <c r="AP276" s="30" t="s">
        <v>1006</v>
      </c>
      <c r="AQ276" s="30" t="n">
        <v>44.98</v>
      </c>
      <c r="AR276" s="30" t="s">
        <v>1005</v>
      </c>
      <c r="AS276" s="30" t="n">
        <v>71.06</v>
      </c>
      <c r="AT276" s="30" t="s">
        <v>1005</v>
      </c>
      <c r="AU276" s="30" t="n">
        <v>509.09</v>
      </c>
      <c r="AV276" s="30" t="n">
        <v>0.284</v>
      </c>
      <c r="AW276" s="30" t="s">
        <v>1016</v>
      </c>
      <c r="AX276" s="30" t="s">
        <v>1008</v>
      </c>
      <c r="AY276" s="30" t="n">
        <v>1</v>
      </c>
      <c r="AZ276" s="30"/>
    </row>
    <row collapsed="false" customFormat="true" customHeight="true" hidden="false" ht="33" outlineLevel="0" r="277" s="73">
      <c r="A277" s="30" t="n">
        <v>303</v>
      </c>
      <c r="B277" s="30" t="s">
        <v>460</v>
      </c>
      <c r="C277" s="30" t="s">
        <v>1009</v>
      </c>
      <c r="D277" s="30" t="s">
        <v>999</v>
      </c>
      <c r="E277" s="30" t="s">
        <v>1010</v>
      </c>
      <c r="F277" s="30" t="s">
        <v>1011</v>
      </c>
      <c r="G277" s="30" t="s">
        <v>1002</v>
      </c>
      <c r="H277" s="30" t="s">
        <v>1003</v>
      </c>
      <c r="I277" s="30" t="n">
        <v>1</v>
      </c>
      <c r="J277" s="30"/>
      <c r="K277" s="30" t="n">
        <v>76</v>
      </c>
      <c r="L277" s="30"/>
      <c r="M277" s="30" t="s">
        <v>1015</v>
      </c>
      <c r="N277" s="30" t="s">
        <v>54</v>
      </c>
      <c r="O277" s="30"/>
      <c r="P277" s="30"/>
      <c r="Q277" s="30"/>
      <c r="R277" s="30"/>
      <c r="S277" s="30"/>
      <c r="T277" s="30"/>
      <c r="U277" s="30" t="n">
        <v>472.82</v>
      </c>
      <c r="V277" s="30" t="n">
        <v>387.44</v>
      </c>
      <c r="W277" s="30" t="n">
        <v>51.72</v>
      </c>
      <c r="X277" s="30" t="s">
        <v>1005</v>
      </c>
      <c r="Y277" s="30" t="n">
        <v>44.55</v>
      </c>
      <c r="Z277" s="30" t="s">
        <v>1005</v>
      </c>
      <c r="AA277" s="30" t="n">
        <v>49.41</v>
      </c>
      <c r="AB277" s="30" t="s">
        <v>1006</v>
      </c>
      <c r="AC277" s="30" t="n">
        <v>33.31</v>
      </c>
      <c r="AD277" s="30" t="s">
        <v>1005</v>
      </c>
      <c r="AE277" s="30" t="n">
        <v>16.3</v>
      </c>
      <c r="AF277" s="30" t="s">
        <v>1005</v>
      </c>
      <c r="AG277" s="30" t="n">
        <v>0</v>
      </c>
      <c r="AH277" s="30" t="s">
        <v>1005</v>
      </c>
      <c r="AI277" s="30" t="n">
        <v>0</v>
      </c>
      <c r="AJ277" s="30" t="s">
        <v>1005</v>
      </c>
      <c r="AK277" s="30" t="n">
        <v>0</v>
      </c>
      <c r="AL277" s="30" t="s">
        <v>1005</v>
      </c>
      <c r="AM277" s="30" t="n">
        <v>0</v>
      </c>
      <c r="AN277" s="30" t="s">
        <v>1005</v>
      </c>
      <c r="AO277" s="30" t="n">
        <v>36.09</v>
      </c>
      <c r="AP277" s="30" t="s">
        <v>1005</v>
      </c>
      <c r="AQ277" s="30" t="n">
        <v>35.04</v>
      </c>
      <c r="AR277" s="30" t="s">
        <v>1005</v>
      </c>
      <c r="AS277" s="30" t="n">
        <v>52.27</v>
      </c>
      <c r="AT277" s="30" t="s">
        <v>1005</v>
      </c>
      <c r="AU277" s="30" t="n">
        <v>318.69</v>
      </c>
      <c r="AV277" s="30" t="n">
        <v>0.281</v>
      </c>
      <c r="AW277" s="30" t="s">
        <v>1016</v>
      </c>
      <c r="AX277" s="30" t="s">
        <v>1008</v>
      </c>
      <c r="AY277" s="30" t="n">
        <v>1</v>
      </c>
      <c r="AZ277" s="30"/>
    </row>
    <row collapsed="false" customFormat="true" customHeight="true" hidden="false" ht="33" outlineLevel="0" r="278" s="73">
      <c r="A278" s="30" t="n">
        <v>304</v>
      </c>
      <c r="B278" s="30" t="s">
        <v>461</v>
      </c>
      <c r="C278" s="30" t="s">
        <v>1009</v>
      </c>
      <c r="D278" s="30" t="s">
        <v>999</v>
      </c>
      <c r="E278" s="30" t="s">
        <v>1010</v>
      </c>
      <c r="F278" s="30" t="s">
        <v>1011</v>
      </c>
      <c r="G278" s="30" t="s">
        <v>1002</v>
      </c>
      <c r="H278" s="30" t="s">
        <v>1003</v>
      </c>
      <c r="I278" s="30" t="n">
        <v>1</v>
      </c>
      <c r="J278" s="30"/>
      <c r="K278" s="30" t="n">
        <v>76</v>
      </c>
      <c r="L278" s="30"/>
      <c r="M278" s="30" t="s">
        <v>1015</v>
      </c>
      <c r="N278" s="30" t="s">
        <v>54</v>
      </c>
      <c r="O278" s="30"/>
      <c r="P278" s="30"/>
      <c r="Q278" s="30"/>
      <c r="R278" s="30"/>
      <c r="S278" s="30"/>
      <c r="T278" s="30"/>
      <c r="U278" s="30" t="n">
        <v>477.84</v>
      </c>
      <c r="V278" s="30" t="n">
        <v>613.62</v>
      </c>
      <c r="W278" s="30" t="n">
        <v>105.02</v>
      </c>
      <c r="X278" s="30" t="s">
        <v>1005</v>
      </c>
      <c r="Y278" s="30" t="n">
        <v>82.68</v>
      </c>
      <c r="Z278" s="30" t="s">
        <v>1006</v>
      </c>
      <c r="AA278" s="30" t="n">
        <v>82.68</v>
      </c>
      <c r="AB278" s="30" t="s">
        <v>1006</v>
      </c>
      <c r="AC278" s="30" t="n">
        <v>82.68</v>
      </c>
      <c r="AD278" s="30" t="s">
        <v>1006</v>
      </c>
      <c r="AE278" s="30" t="n">
        <v>24.01</v>
      </c>
      <c r="AF278" s="30" t="s">
        <v>1006</v>
      </c>
      <c r="AG278" s="30" t="n">
        <v>0</v>
      </c>
      <c r="AH278" s="30" t="s">
        <v>1006</v>
      </c>
      <c r="AI278" s="30" t="n">
        <v>0</v>
      </c>
      <c r="AJ278" s="30" t="s">
        <v>1006</v>
      </c>
      <c r="AK278" s="30" t="n">
        <v>0</v>
      </c>
      <c r="AL278" s="30" t="s">
        <v>1006</v>
      </c>
      <c r="AM278" s="30" t="n">
        <v>0</v>
      </c>
      <c r="AN278" s="30" t="s">
        <v>1006</v>
      </c>
      <c r="AO278" s="30" t="n">
        <v>51.88</v>
      </c>
      <c r="AP278" s="30" t="s">
        <v>1005</v>
      </c>
      <c r="AQ278" s="30" t="n">
        <v>45.3</v>
      </c>
      <c r="AR278" s="30" t="s">
        <v>1005</v>
      </c>
      <c r="AS278" s="30" t="n">
        <v>66.45</v>
      </c>
      <c r="AT278" s="30" t="s">
        <v>1005</v>
      </c>
      <c r="AU278" s="30" t="n">
        <v>540.7</v>
      </c>
      <c r="AV278" s="30" t="n">
        <v>0.284</v>
      </c>
      <c r="AW278" s="30" t="s">
        <v>1016</v>
      </c>
      <c r="AX278" s="30" t="s">
        <v>1008</v>
      </c>
      <c r="AY278" s="30" t="n">
        <v>1</v>
      </c>
      <c r="AZ278" s="30"/>
    </row>
    <row collapsed="false" customFormat="true" customHeight="true" hidden="false" ht="33" outlineLevel="0" r="279" s="73">
      <c r="A279" s="30" t="n">
        <v>305</v>
      </c>
      <c r="B279" s="30" t="s">
        <v>462</v>
      </c>
      <c r="C279" s="30" t="s">
        <v>1009</v>
      </c>
      <c r="D279" s="30" t="s">
        <v>999</v>
      </c>
      <c r="E279" s="30" t="s">
        <v>1010</v>
      </c>
      <c r="F279" s="30" t="s">
        <v>1011</v>
      </c>
      <c r="G279" s="30" t="s">
        <v>1002</v>
      </c>
      <c r="H279" s="30" t="s">
        <v>1003</v>
      </c>
      <c r="I279" s="30" t="n">
        <v>1</v>
      </c>
      <c r="J279" s="30"/>
      <c r="K279" s="30" t="n">
        <v>89</v>
      </c>
      <c r="L279" s="30"/>
      <c r="M279" s="30" t="s">
        <v>1015</v>
      </c>
      <c r="N279" s="30" t="s">
        <v>54</v>
      </c>
      <c r="O279" s="30"/>
      <c r="P279" s="30"/>
      <c r="Q279" s="30"/>
      <c r="R279" s="30"/>
      <c r="S279" s="30"/>
      <c r="T279" s="30"/>
      <c r="U279" s="30" t="n">
        <v>935.49</v>
      </c>
      <c r="V279" s="30" t="n">
        <v>629.37</v>
      </c>
      <c r="W279" s="30" t="n">
        <v>111.5</v>
      </c>
      <c r="X279" s="30" t="s">
        <v>1005</v>
      </c>
      <c r="Y279" s="30" t="n">
        <v>102.02</v>
      </c>
      <c r="Z279" s="30" t="s">
        <v>1005</v>
      </c>
      <c r="AA279" s="30" t="n">
        <v>125.12</v>
      </c>
      <c r="AB279" s="30" t="s">
        <v>1006</v>
      </c>
      <c r="AC279" s="30" t="n">
        <v>66.4</v>
      </c>
      <c r="AD279" s="30" t="s">
        <v>1005</v>
      </c>
      <c r="AE279" s="30" t="n">
        <v>31.25</v>
      </c>
      <c r="AF279" s="30" t="s">
        <v>1005</v>
      </c>
      <c r="AG279" s="30" t="n">
        <v>0</v>
      </c>
      <c r="AH279" s="30" t="s">
        <v>1005</v>
      </c>
      <c r="AI279" s="30" t="n">
        <v>0</v>
      </c>
      <c r="AJ279" s="30" t="s">
        <v>1005</v>
      </c>
      <c r="AK279" s="30" t="n">
        <v>0</v>
      </c>
      <c r="AL279" s="30" t="s">
        <v>1005</v>
      </c>
      <c r="AM279" s="30" t="n">
        <v>0</v>
      </c>
      <c r="AN279" s="30" t="s">
        <v>1005</v>
      </c>
      <c r="AO279" s="30" t="n">
        <v>76.88</v>
      </c>
      <c r="AP279" s="30" t="s">
        <v>1005</v>
      </c>
      <c r="AQ279" s="30" t="n">
        <v>72.98</v>
      </c>
      <c r="AR279" s="30" t="s">
        <v>1005</v>
      </c>
      <c r="AS279" s="30" t="n">
        <v>106.18</v>
      </c>
      <c r="AT279" s="30" t="s">
        <v>1005</v>
      </c>
      <c r="AU279" s="30" t="n">
        <v>692.33</v>
      </c>
      <c r="AV279" s="30" t="n">
        <v>0.556</v>
      </c>
      <c r="AW279" s="30" t="s">
        <v>1016</v>
      </c>
      <c r="AX279" s="30" t="s">
        <v>1008</v>
      </c>
      <c r="AY279" s="30" t="n">
        <v>1</v>
      </c>
      <c r="AZ279" s="30"/>
    </row>
    <row collapsed="false" customFormat="true" customHeight="true" hidden="false" ht="33" outlineLevel="0" r="280" s="73">
      <c r="A280" s="30" t="n">
        <v>306</v>
      </c>
      <c r="B280" s="30" t="s">
        <v>463</v>
      </c>
      <c r="C280" s="30" t="s">
        <v>1009</v>
      </c>
      <c r="D280" s="30" t="s">
        <v>999</v>
      </c>
      <c r="E280" s="30" t="s">
        <v>1010</v>
      </c>
      <c r="F280" s="30" t="s">
        <v>1011</v>
      </c>
      <c r="G280" s="30" t="s">
        <v>1002</v>
      </c>
      <c r="H280" s="30" t="s">
        <v>1003</v>
      </c>
      <c r="I280" s="30" t="n">
        <v>1</v>
      </c>
      <c r="J280" s="30"/>
      <c r="K280" s="30" t="n">
        <v>76</v>
      </c>
      <c r="L280" s="30"/>
      <c r="M280" s="30" t="s">
        <v>1015</v>
      </c>
      <c r="N280" s="30" t="s">
        <v>54</v>
      </c>
      <c r="O280" s="30"/>
      <c r="P280" s="30"/>
      <c r="Q280" s="30"/>
      <c r="R280" s="30"/>
      <c r="S280" s="30"/>
      <c r="T280" s="30"/>
      <c r="U280" s="30" t="n">
        <v>373.65</v>
      </c>
      <c r="V280" s="30" t="n">
        <v>457.76</v>
      </c>
      <c r="W280" s="30" t="n">
        <v>53.25</v>
      </c>
      <c r="X280" s="30" t="s">
        <v>1006</v>
      </c>
      <c r="Y280" s="30" t="n">
        <v>53.25</v>
      </c>
      <c r="Z280" s="30" t="s">
        <v>1006</v>
      </c>
      <c r="AA280" s="30" t="n">
        <v>53.25</v>
      </c>
      <c r="AB280" s="30" t="s">
        <v>1006</v>
      </c>
      <c r="AC280" s="30" t="n">
        <v>31.81</v>
      </c>
      <c r="AD280" s="30" t="s">
        <v>1005</v>
      </c>
      <c r="AE280" s="30" t="n">
        <v>13.84</v>
      </c>
      <c r="AF280" s="30" t="s">
        <v>1005</v>
      </c>
      <c r="AG280" s="30" t="n">
        <v>0</v>
      </c>
      <c r="AH280" s="30" t="s">
        <v>1005</v>
      </c>
      <c r="AI280" s="30" t="n">
        <v>0</v>
      </c>
      <c r="AJ280" s="30" t="s">
        <v>1005</v>
      </c>
      <c r="AK280" s="30" t="n">
        <v>0</v>
      </c>
      <c r="AL280" s="30" t="s">
        <v>1005</v>
      </c>
      <c r="AM280" s="30" t="n">
        <v>0</v>
      </c>
      <c r="AN280" s="30" t="s">
        <v>1005</v>
      </c>
      <c r="AO280" s="30" t="n">
        <v>45.39</v>
      </c>
      <c r="AP280" s="30" t="s">
        <v>1006</v>
      </c>
      <c r="AQ280" s="30" t="n">
        <v>30.65</v>
      </c>
      <c r="AR280" s="30" t="s">
        <v>1005</v>
      </c>
      <c r="AS280" s="30" t="n">
        <v>53.6</v>
      </c>
      <c r="AT280" s="30" t="s">
        <v>1005</v>
      </c>
      <c r="AU280" s="30" t="n">
        <v>335.04</v>
      </c>
      <c r="AV280" s="30" t="n">
        <v>0.222</v>
      </c>
      <c r="AW280" s="30" t="s">
        <v>1016</v>
      </c>
      <c r="AX280" s="30" t="s">
        <v>1008</v>
      </c>
      <c r="AY280" s="30" t="n">
        <v>1</v>
      </c>
      <c r="AZ280" s="30"/>
    </row>
    <row collapsed="false" customFormat="true" customHeight="true" hidden="false" ht="33" outlineLevel="0" r="281" s="73">
      <c r="A281" s="30" t="n">
        <v>307</v>
      </c>
      <c r="B281" s="30" t="s">
        <v>464</v>
      </c>
      <c r="C281" s="30" t="s">
        <v>1009</v>
      </c>
      <c r="D281" s="30" t="s">
        <v>999</v>
      </c>
      <c r="E281" s="30" t="s">
        <v>1010</v>
      </c>
      <c r="F281" s="30" t="s">
        <v>1011</v>
      </c>
      <c r="G281" s="30" t="s">
        <v>1002</v>
      </c>
      <c r="H281" s="30" t="s">
        <v>1003</v>
      </c>
      <c r="I281" s="30" t="n">
        <v>1</v>
      </c>
      <c r="J281" s="30"/>
      <c r="K281" s="30" t="n">
        <v>76</v>
      </c>
      <c r="L281" s="30"/>
      <c r="M281" s="30" t="s">
        <v>1015</v>
      </c>
      <c r="N281" s="30" t="s">
        <v>54</v>
      </c>
      <c r="O281" s="30"/>
      <c r="P281" s="30"/>
      <c r="Q281" s="30"/>
      <c r="R281" s="30"/>
      <c r="S281" s="30"/>
      <c r="T281" s="30"/>
      <c r="U281" s="30" t="n">
        <v>652.76</v>
      </c>
      <c r="V281" s="30" t="n">
        <v>637.76</v>
      </c>
      <c r="W281" s="30" t="n">
        <v>73.23</v>
      </c>
      <c r="X281" s="30" t="s">
        <v>1005</v>
      </c>
      <c r="Y281" s="30" t="n">
        <v>81.94</v>
      </c>
      <c r="Z281" s="30" t="s">
        <v>1006</v>
      </c>
      <c r="AA281" s="30" t="n">
        <v>81.94</v>
      </c>
      <c r="AB281" s="30" t="s">
        <v>1006</v>
      </c>
      <c r="AC281" s="30" t="n">
        <v>49.98</v>
      </c>
      <c r="AD281" s="30" t="s">
        <v>1005</v>
      </c>
      <c r="AE281" s="30" t="n">
        <v>24.69</v>
      </c>
      <c r="AF281" s="30" t="s">
        <v>1005</v>
      </c>
      <c r="AG281" s="30" t="n">
        <v>0</v>
      </c>
      <c r="AH281" s="30" t="s">
        <v>1005</v>
      </c>
      <c r="AI281" s="30" t="n">
        <v>0</v>
      </c>
      <c r="AJ281" s="30" t="s">
        <v>1005</v>
      </c>
      <c r="AK281" s="30" t="n">
        <v>0</v>
      </c>
      <c r="AL281" s="30" t="s">
        <v>1005</v>
      </c>
      <c r="AM281" s="30" t="n">
        <v>0</v>
      </c>
      <c r="AN281" s="30" t="s">
        <v>1005</v>
      </c>
      <c r="AO281" s="30" t="n">
        <v>79.21</v>
      </c>
      <c r="AP281" s="30" t="s">
        <v>1006</v>
      </c>
      <c r="AQ281" s="30" t="n">
        <v>47.92</v>
      </c>
      <c r="AR281" s="30" t="s">
        <v>1005</v>
      </c>
      <c r="AS281" s="30" t="n">
        <v>63.11</v>
      </c>
      <c r="AT281" s="30" t="s">
        <v>1005</v>
      </c>
      <c r="AU281" s="30" t="n">
        <v>502.02</v>
      </c>
      <c r="AV281" s="30" t="n">
        <v>0.368</v>
      </c>
      <c r="AW281" s="30" t="s">
        <v>1016</v>
      </c>
      <c r="AX281" s="30" t="s">
        <v>1008</v>
      </c>
      <c r="AY281" s="30" t="n">
        <v>1</v>
      </c>
      <c r="AZ281" s="30"/>
    </row>
    <row collapsed="false" customFormat="true" customHeight="true" hidden="false" ht="33" outlineLevel="0" r="282" s="73">
      <c r="A282" s="30" t="n">
        <v>308</v>
      </c>
      <c r="B282" s="30" t="s">
        <v>465</v>
      </c>
      <c r="C282" s="30" t="s">
        <v>1009</v>
      </c>
      <c r="D282" s="30" t="s">
        <v>999</v>
      </c>
      <c r="E282" s="30" t="s">
        <v>1010</v>
      </c>
      <c r="F282" s="30" t="s">
        <v>1011</v>
      </c>
      <c r="G282" s="30" t="s">
        <v>1002</v>
      </c>
      <c r="H282" s="30" t="s">
        <v>1003</v>
      </c>
      <c r="I282" s="30" t="n">
        <v>1</v>
      </c>
      <c r="J282" s="30"/>
      <c r="K282" s="30" t="n">
        <v>76</v>
      </c>
      <c r="L282" s="30"/>
      <c r="M282" s="30" t="s">
        <v>1015</v>
      </c>
      <c r="N282" s="30" t="s">
        <v>54</v>
      </c>
      <c r="O282" s="30"/>
      <c r="P282" s="30"/>
      <c r="Q282" s="30"/>
      <c r="R282" s="30"/>
      <c r="S282" s="30"/>
      <c r="T282" s="30"/>
      <c r="U282" s="30" t="n">
        <v>748.97</v>
      </c>
      <c r="V282" s="30" t="n">
        <v>1069.49</v>
      </c>
      <c r="W282" s="30" t="n">
        <v>141.88</v>
      </c>
      <c r="X282" s="30" t="s">
        <v>1005</v>
      </c>
      <c r="Y282" s="30" t="n">
        <v>128.12</v>
      </c>
      <c r="Z282" s="30" t="s">
        <v>1005</v>
      </c>
      <c r="AA282" s="30" t="n">
        <v>126.27</v>
      </c>
      <c r="AB282" s="30" t="s">
        <v>1006</v>
      </c>
      <c r="AC282" s="30" t="n">
        <v>74.04</v>
      </c>
      <c r="AD282" s="30" t="s">
        <v>1005</v>
      </c>
      <c r="AE282" s="30" t="n">
        <v>36.83</v>
      </c>
      <c r="AF282" s="30" t="s">
        <v>1005</v>
      </c>
      <c r="AG282" s="30" t="n">
        <v>0</v>
      </c>
      <c r="AH282" s="30" t="s">
        <v>1005</v>
      </c>
      <c r="AI282" s="30" t="n">
        <v>0</v>
      </c>
      <c r="AJ282" s="30" t="s">
        <v>1005</v>
      </c>
      <c r="AK282" s="30" t="n">
        <v>0</v>
      </c>
      <c r="AL282" s="30" t="s">
        <v>1005</v>
      </c>
      <c r="AM282" s="30" t="n">
        <v>0</v>
      </c>
      <c r="AN282" s="30" t="s">
        <v>1005</v>
      </c>
      <c r="AO282" s="30" t="n">
        <v>81.9</v>
      </c>
      <c r="AP282" s="30" t="s">
        <v>1005</v>
      </c>
      <c r="AQ282" s="30" t="n">
        <v>84.15</v>
      </c>
      <c r="AR282" s="30" t="s">
        <v>1005</v>
      </c>
      <c r="AS282" s="30" t="n">
        <v>112.22</v>
      </c>
      <c r="AT282" s="30" t="s">
        <v>1005</v>
      </c>
      <c r="AU282" s="30" t="n">
        <v>785.41</v>
      </c>
      <c r="AV282" s="30" t="n">
        <v>0.445</v>
      </c>
      <c r="AW282" s="30" t="s">
        <v>1016</v>
      </c>
      <c r="AX282" s="30" t="s">
        <v>1008</v>
      </c>
      <c r="AY282" s="30" t="n">
        <v>1</v>
      </c>
      <c r="AZ282" s="30"/>
    </row>
    <row collapsed="false" customFormat="true" customHeight="true" hidden="false" ht="33" outlineLevel="0" r="283" s="73">
      <c r="A283" s="30" t="n">
        <v>309</v>
      </c>
      <c r="B283" s="30" t="s">
        <v>466</v>
      </c>
      <c r="C283" s="30" t="s">
        <v>1009</v>
      </c>
      <c r="D283" s="30" t="s">
        <v>999</v>
      </c>
      <c r="E283" s="30" t="s">
        <v>1010</v>
      </c>
      <c r="F283" s="30" t="s">
        <v>1011</v>
      </c>
      <c r="G283" s="30" t="s">
        <v>1002</v>
      </c>
      <c r="H283" s="30" t="s">
        <v>1003</v>
      </c>
      <c r="I283" s="30" t="n">
        <v>1</v>
      </c>
      <c r="J283" s="30"/>
      <c r="K283" s="30" t="n">
        <v>76</v>
      </c>
      <c r="L283" s="30"/>
      <c r="M283" s="30" t="s">
        <v>1015</v>
      </c>
      <c r="N283" s="30" t="s">
        <v>54</v>
      </c>
      <c r="O283" s="30"/>
      <c r="P283" s="30"/>
      <c r="Q283" s="30"/>
      <c r="R283" s="30"/>
      <c r="S283" s="30"/>
      <c r="T283" s="30"/>
      <c r="U283" s="30" t="n">
        <v>373.65</v>
      </c>
      <c r="V283" s="30" t="n">
        <v>382.81</v>
      </c>
      <c r="W283" s="30" t="n">
        <v>49.02</v>
      </c>
      <c r="X283" s="30" t="s">
        <v>1006</v>
      </c>
      <c r="Y283" s="30" t="n">
        <v>49.02</v>
      </c>
      <c r="Z283" s="30" t="s">
        <v>1006</v>
      </c>
      <c r="AA283" s="30" t="n">
        <v>149.02</v>
      </c>
      <c r="AB283" s="30" t="s">
        <v>1006</v>
      </c>
      <c r="AC283" s="30" t="n">
        <v>32.24</v>
      </c>
      <c r="AD283" s="30" t="s">
        <v>1005</v>
      </c>
      <c r="AE283" s="30" t="n">
        <v>14.66</v>
      </c>
      <c r="AF283" s="30" t="s">
        <v>1005</v>
      </c>
      <c r="AG283" s="30" t="n">
        <v>0</v>
      </c>
      <c r="AH283" s="30" t="s">
        <v>1005</v>
      </c>
      <c r="AI283" s="30" t="n">
        <v>0</v>
      </c>
      <c r="AJ283" s="30" t="s">
        <v>1005</v>
      </c>
      <c r="AK283" s="30" t="n">
        <v>0</v>
      </c>
      <c r="AL283" s="30" t="s">
        <v>1005</v>
      </c>
      <c r="AM283" s="30" t="n">
        <v>0</v>
      </c>
      <c r="AN283" s="30" t="s">
        <v>1005</v>
      </c>
      <c r="AO283" s="30" t="n">
        <v>43.28</v>
      </c>
      <c r="AP283" s="30" t="s">
        <v>1005</v>
      </c>
      <c r="AQ283" s="30" t="n">
        <v>37.4</v>
      </c>
      <c r="AR283" s="30" t="s">
        <v>1005</v>
      </c>
      <c r="AS283" s="30" t="n">
        <v>52.59</v>
      </c>
      <c r="AT283" s="30" t="s">
        <v>1005</v>
      </c>
      <c r="AU283" s="30" t="n">
        <v>427.23</v>
      </c>
      <c r="AV283" s="30" t="n">
        <v>0.222</v>
      </c>
      <c r="AW283" s="30" t="s">
        <v>1016</v>
      </c>
      <c r="AX283" s="30" t="s">
        <v>1008</v>
      </c>
      <c r="AY283" s="30" t="n">
        <v>1</v>
      </c>
      <c r="AZ283" s="30"/>
    </row>
    <row collapsed="false" customFormat="true" customHeight="true" hidden="false" ht="33" outlineLevel="0" r="284" s="73">
      <c r="A284" s="30" t="n">
        <v>310</v>
      </c>
      <c r="B284" s="30" t="s">
        <v>467</v>
      </c>
      <c r="C284" s="30" t="s">
        <v>1009</v>
      </c>
      <c r="D284" s="30" t="s">
        <v>999</v>
      </c>
      <c r="E284" s="30" t="s">
        <v>1010</v>
      </c>
      <c r="F284" s="30" t="s">
        <v>1011</v>
      </c>
      <c r="G284" s="30" t="s">
        <v>1002</v>
      </c>
      <c r="H284" s="30" t="s">
        <v>1003</v>
      </c>
      <c r="I284" s="30" t="n">
        <v>1</v>
      </c>
      <c r="J284" s="30"/>
      <c r="K284" s="30" t="n">
        <v>76</v>
      </c>
      <c r="L284" s="30"/>
      <c r="M284" s="30" t="s">
        <v>1015</v>
      </c>
      <c r="N284" s="30" t="s">
        <v>54</v>
      </c>
      <c r="O284" s="30"/>
      <c r="P284" s="30"/>
      <c r="Q284" s="30"/>
      <c r="R284" s="30"/>
      <c r="S284" s="30"/>
      <c r="T284" s="30"/>
      <c r="U284" s="30" t="n">
        <v>461.82</v>
      </c>
      <c r="V284" s="30" t="n">
        <v>677.62</v>
      </c>
      <c r="W284" s="30" t="n">
        <v>83.16</v>
      </c>
      <c r="X284" s="30" t="s">
        <v>1006</v>
      </c>
      <c r="Y284" s="30" t="n">
        <v>53.49</v>
      </c>
      <c r="Z284" s="30" t="s">
        <v>1005</v>
      </c>
      <c r="AA284" s="30" t="n">
        <v>83.16</v>
      </c>
      <c r="AB284" s="30" t="s">
        <v>1006</v>
      </c>
      <c r="AC284" s="30" t="n">
        <v>42.94</v>
      </c>
      <c r="AD284" s="30" t="s">
        <v>1005</v>
      </c>
      <c r="AE284" s="30" t="n">
        <v>24.14</v>
      </c>
      <c r="AF284" s="30" t="s">
        <v>1006</v>
      </c>
      <c r="AG284" s="30" t="n">
        <v>0</v>
      </c>
      <c r="AH284" s="30" t="s">
        <v>1006</v>
      </c>
      <c r="AI284" s="30" t="n">
        <v>0</v>
      </c>
      <c r="AJ284" s="30" t="s">
        <v>1006</v>
      </c>
      <c r="AK284" s="30" t="n">
        <v>0</v>
      </c>
      <c r="AL284" s="30" t="s">
        <v>1006</v>
      </c>
      <c r="AM284" s="30" t="n">
        <v>0</v>
      </c>
      <c r="AN284" s="30" t="s">
        <v>1006</v>
      </c>
      <c r="AO284" s="30" t="n">
        <v>53.48</v>
      </c>
      <c r="AP284" s="30" t="s">
        <v>1005</v>
      </c>
      <c r="AQ284" s="30" t="n">
        <v>56.5</v>
      </c>
      <c r="AR284" s="30" t="s">
        <v>1005</v>
      </c>
      <c r="AS284" s="30" t="n">
        <v>69.63</v>
      </c>
      <c r="AT284" s="30" t="s">
        <v>1005</v>
      </c>
      <c r="AU284" s="30" t="n">
        <v>466.5</v>
      </c>
      <c r="AV284" s="30" t="n">
        <v>0.282</v>
      </c>
      <c r="AW284" s="30" t="s">
        <v>1016</v>
      </c>
      <c r="AX284" s="30" t="s">
        <v>1008</v>
      </c>
      <c r="AY284" s="30" t="n">
        <v>1</v>
      </c>
      <c r="AZ284" s="30"/>
    </row>
    <row collapsed="false" customFormat="true" customHeight="true" hidden="false" ht="33" outlineLevel="0" r="285" s="73">
      <c r="A285" s="30" t="n">
        <v>311</v>
      </c>
      <c r="B285" s="30" t="s">
        <v>468</v>
      </c>
      <c r="C285" s="30" t="s">
        <v>1009</v>
      </c>
      <c r="D285" s="30" t="s">
        <v>999</v>
      </c>
      <c r="E285" s="30" t="s">
        <v>1010</v>
      </c>
      <c r="F285" s="30" t="s">
        <v>1011</v>
      </c>
      <c r="G285" s="30" t="s">
        <v>1002</v>
      </c>
      <c r="H285" s="30" t="s">
        <v>1003</v>
      </c>
      <c r="I285" s="30" t="n">
        <v>1</v>
      </c>
      <c r="J285" s="30"/>
      <c r="K285" s="30" t="n">
        <v>89</v>
      </c>
      <c r="L285" s="30"/>
      <c r="M285" s="30" t="s">
        <v>1015</v>
      </c>
      <c r="N285" s="30" t="s">
        <v>54</v>
      </c>
      <c r="O285" s="30"/>
      <c r="P285" s="30"/>
      <c r="Q285" s="30"/>
      <c r="R285" s="30"/>
      <c r="S285" s="30"/>
      <c r="T285" s="30"/>
      <c r="U285" s="30" t="n">
        <v>818.53</v>
      </c>
      <c r="V285" s="30" t="n">
        <v>941.9</v>
      </c>
      <c r="W285" s="30" t="n">
        <v>159.92</v>
      </c>
      <c r="X285" s="30" t="s">
        <v>1005</v>
      </c>
      <c r="Y285" s="30" t="n">
        <v>118.37</v>
      </c>
      <c r="Z285" s="30" t="s">
        <v>1005</v>
      </c>
      <c r="AA285" s="30" t="n">
        <v>126.35</v>
      </c>
      <c r="AB285" s="30" t="s">
        <v>1006</v>
      </c>
      <c r="AC285" s="30" t="n">
        <v>64.8</v>
      </c>
      <c r="AD285" s="30" t="s">
        <v>1005</v>
      </c>
      <c r="AE285" s="30" t="n">
        <v>34.16</v>
      </c>
      <c r="AF285" s="30" t="s">
        <v>1005</v>
      </c>
      <c r="AG285" s="30" t="n">
        <v>0</v>
      </c>
      <c r="AH285" s="30" t="s">
        <v>1005</v>
      </c>
      <c r="AI285" s="30" t="n">
        <v>0</v>
      </c>
      <c r="AJ285" s="30" t="s">
        <v>1005</v>
      </c>
      <c r="AK285" s="30" t="n">
        <v>0</v>
      </c>
      <c r="AL285" s="30" t="s">
        <v>1005</v>
      </c>
      <c r="AM285" s="30" t="n">
        <v>0</v>
      </c>
      <c r="AN285" s="30" t="s">
        <v>1005</v>
      </c>
      <c r="AO285" s="30" t="n">
        <v>73.74</v>
      </c>
      <c r="AP285" s="30" t="s">
        <v>1005</v>
      </c>
      <c r="AQ285" s="30" t="n">
        <v>69.61</v>
      </c>
      <c r="AR285" s="30" t="s">
        <v>1005</v>
      </c>
      <c r="AS285" s="30" t="n">
        <v>103.16</v>
      </c>
      <c r="AT285" s="30" t="s">
        <v>1005</v>
      </c>
      <c r="AU285" s="30" t="n">
        <v>750.11</v>
      </c>
      <c r="AV285" s="30" t="n">
        <v>0.556</v>
      </c>
      <c r="AW285" s="30" t="s">
        <v>1016</v>
      </c>
      <c r="AX285" s="30" t="s">
        <v>1008</v>
      </c>
      <c r="AY285" s="30" t="n">
        <v>1</v>
      </c>
      <c r="AZ285" s="30"/>
    </row>
    <row collapsed="false" customFormat="true" customHeight="true" hidden="false" ht="33" outlineLevel="0" r="286" s="73">
      <c r="A286" s="30" t="n">
        <v>312</v>
      </c>
      <c r="B286" s="30" t="s">
        <v>470</v>
      </c>
      <c r="C286" s="30" t="s">
        <v>1009</v>
      </c>
      <c r="D286" s="30" t="s">
        <v>999</v>
      </c>
      <c r="E286" s="30" t="s">
        <v>1010</v>
      </c>
      <c r="F286" s="30" t="s">
        <v>1001</v>
      </c>
      <c r="G286" s="30" t="s">
        <v>1002</v>
      </c>
      <c r="H286" s="30" t="s">
        <v>1003</v>
      </c>
      <c r="I286" s="30" t="n">
        <v>2</v>
      </c>
      <c r="J286" s="30"/>
      <c r="K286" s="30" t="n">
        <v>80</v>
      </c>
      <c r="L286" s="30" t="n">
        <v>5.5</v>
      </c>
      <c r="M286" s="30" t="s">
        <v>1015</v>
      </c>
      <c r="N286" s="30" t="s">
        <v>53</v>
      </c>
      <c r="O286" s="30"/>
      <c r="P286" s="30"/>
      <c r="Q286" s="30"/>
      <c r="R286" s="30"/>
      <c r="S286" s="30"/>
      <c r="T286" s="30"/>
      <c r="U286" s="30" t="n">
        <v>2186.43</v>
      </c>
      <c r="V286" s="30" t="n">
        <v>2352.59</v>
      </c>
      <c r="W286" s="30" t="n">
        <v>199.47</v>
      </c>
      <c r="X286" s="30" t="s">
        <v>1006</v>
      </c>
      <c r="Y286" s="30" t="n">
        <v>199.47</v>
      </c>
      <c r="Z286" s="30" t="s">
        <v>1006</v>
      </c>
      <c r="AA286" s="30" t="n">
        <v>199.47</v>
      </c>
      <c r="AB286" s="30" t="s">
        <v>1006</v>
      </c>
      <c r="AC286" s="30" t="n">
        <v>199.47</v>
      </c>
      <c r="AD286" s="30" t="s">
        <v>1006</v>
      </c>
      <c r="AE286" s="30" t="n">
        <v>57.91</v>
      </c>
      <c r="AF286" s="30" t="s">
        <v>1006</v>
      </c>
      <c r="AG286" s="30" t="n">
        <v>0</v>
      </c>
      <c r="AH286" s="30" t="s">
        <v>1006</v>
      </c>
      <c r="AI286" s="30" t="n">
        <v>0</v>
      </c>
      <c r="AJ286" s="30" t="s">
        <v>1006</v>
      </c>
      <c r="AK286" s="30" t="n">
        <v>0</v>
      </c>
      <c r="AL286" s="30" t="s">
        <v>1006</v>
      </c>
      <c r="AM286" s="30" t="n">
        <v>48.81</v>
      </c>
      <c r="AN286" s="30" t="s">
        <v>1006</v>
      </c>
      <c r="AO286" s="30" t="n">
        <v>209.19</v>
      </c>
      <c r="AP286" s="30" t="s">
        <v>1005</v>
      </c>
      <c r="AQ286" s="30" t="n">
        <v>143.54</v>
      </c>
      <c r="AR286" s="30" t="s">
        <v>1005</v>
      </c>
      <c r="AS286" s="30" t="n">
        <v>158.79</v>
      </c>
      <c r="AT286" s="30" t="s">
        <v>1005</v>
      </c>
      <c r="AU286" s="30" t="n">
        <v>1416.12</v>
      </c>
      <c r="AV286" s="30" t="n">
        <v>1.319476</v>
      </c>
      <c r="AW286" s="30" t="s">
        <v>1016</v>
      </c>
      <c r="AX286" s="30" t="s">
        <v>1008</v>
      </c>
      <c r="AY286" s="30" t="n">
        <v>2</v>
      </c>
      <c r="AZ286" s="30"/>
    </row>
    <row collapsed="false" customFormat="true" customHeight="true" hidden="false" ht="33" outlineLevel="0" r="287" s="73">
      <c r="A287" s="30" t="n">
        <v>313</v>
      </c>
      <c r="B287" s="30" t="s">
        <v>471</v>
      </c>
      <c r="C287" s="30" t="s">
        <v>1009</v>
      </c>
      <c r="D287" s="30" t="s">
        <v>999</v>
      </c>
      <c r="E287" s="30" t="s">
        <v>1010</v>
      </c>
      <c r="F287" s="30" t="s">
        <v>1001</v>
      </c>
      <c r="G287" s="30" t="s">
        <v>1002</v>
      </c>
      <c r="H287" s="30" t="s">
        <v>1003</v>
      </c>
      <c r="I287" s="30" t="n">
        <v>1</v>
      </c>
      <c r="J287" s="30"/>
      <c r="K287" s="30" t="n">
        <v>80</v>
      </c>
      <c r="L287" s="30" t="n">
        <v>5.5</v>
      </c>
      <c r="M287" s="30" t="s">
        <v>1015</v>
      </c>
      <c r="N287" s="30" t="s">
        <v>53</v>
      </c>
      <c r="O287" s="30"/>
      <c r="P287" s="30"/>
      <c r="Q287" s="30"/>
      <c r="R287" s="30"/>
      <c r="S287" s="30"/>
      <c r="T287" s="30"/>
      <c r="U287" s="30" t="n">
        <v>533.49</v>
      </c>
      <c r="V287" s="30" t="n">
        <v>639.22</v>
      </c>
      <c r="W287" s="30" t="n">
        <v>60.43</v>
      </c>
      <c r="X287" s="30" t="s">
        <v>1006</v>
      </c>
      <c r="Y287" s="30" t="n">
        <v>60.43</v>
      </c>
      <c r="Z287" s="30" t="s">
        <v>1006</v>
      </c>
      <c r="AA287" s="30" t="n">
        <v>60.43</v>
      </c>
      <c r="AB287" s="30" t="s">
        <v>1006</v>
      </c>
      <c r="AC287" s="30" t="n">
        <v>60.43</v>
      </c>
      <c r="AD287" s="30" t="s">
        <v>1006</v>
      </c>
      <c r="AE287" s="30" t="n">
        <v>17.54</v>
      </c>
      <c r="AF287" s="30" t="s">
        <v>1006</v>
      </c>
      <c r="AG287" s="30" t="n">
        <v>0</v>
      </c>
      <c r="AH287" s="30" t="s">
        <v>1006</v>
      </c>
      <c r="AI287" s="30" t="n">
        <v>0</v>
      </c>
      <c r="AJ287" s="30" t="s">
        <v>1006</v>
      </c>
      <c r="AK287" s="30" t="n">
        <v>0</v>
      </c>
      <c r="AL287" s="30" t="s">
        <v>1006</v>
      </c>
      <c r="AM287" s="30" t="n">
        <v>15.14</v>
      </c>
      <c r="AN287" s="30" t="s">
        <v>1006</v>
      </c>
      <c r="AO287" s="30" t="n">
        <v>64.87</v>
      </c>
      <c r="AP287" s="30" t="s">
        <v>1006</v>
      </c>
      <c r="AQ287" s="30" t="n">
        <v>64.87</v>
      </c>
      <c r="AR287" s="30" t="s">
        <v>1006</v>
      </c>
      <c r="AS287" s="30" t="n">
        <v>37.27</v>
      </c>
      <c r="AT287" s="30" t="s">
        <v>1005</v>
      </c>
      <c r="AU287" s="30" t="n">
        <v>441.41</v>
      </c>
      <c r="AV287" s="30" t="n">
        <v>0.34498</v>
      </c>
      <c r="AW287" s="30" t="s">
        <v>1016</v>
      </c>
      <c r="AX287" s="30" t="s">
        <v>1008</v>
      </c>
      <c r="AY287" s="30" t="n">
        <v>1</v>
      </c>
      <c r="AZ287" s="30"/>
    </row>
    <row collapsed="false" customFormat="true" customHeight="true" hidden="false" ht="33" outlineLevel="0" r="288" s="73">
      <c r="A288" s="30" t="n">
        <v>314</v>
      </c>
      <c r="B288" s="30" t="s">
        <v>472</v>
      </c>
      <c r="C288" s="30" t="s">
        <v>1009</v>
      </c>
      <c r="D288" s="30" t="s">
        <v>999</v>
      </c>
      <c r="E288" s="30" t="s">
        <v>1010</v>
      </c>
      <c r="F288" s="30" t="s">
        <v>1001</v>
      </c>
      <c r="G288" s="30" t="s">
        <v>1002</v>
      </c>
      <c r="H288" s="30" t="s">
        <v>1003</v>
      </c>
      <c r="I288" s="30" t="n">
        <v>1</v>
      </c>
      <c r="J288" s="30"/>
      <c r="K288" s="30" t="n">
        <v>80</v>
      </c>
      <c r="L288" s="30" t="n">
        <v>5.5</v>
      </c>
      <c r="M288" s="30" t="s">
        <v>1015</v>
      </c>
      <c r="N288" s="30" t="s">
        <v>53</v>
      </c>
      <c r="O288" s="30"/>
      <c r="P288" s="30"/>
      <c r="Q288" s="30"/>
      <c r="R288" s="30"/>
      <c r="S288" s="30"/>
      <c r="T288" s="30"/>
      <c r="U288" s="30" t="n">
        <v>499.56</v>
      </c>
      <c r="V288" s="30" t="n">
        <v>714.13</v>
      </c>
      <c r="W288" s="30" t="n">
        <v>66.15</v>
      </c>
      <c r="X288" s="30" t="s">
        <v>1006</v>
      </c>
      <c r="Y288" s="30" t="n">
        <v>66.15</v>
      </c>
      <c r="Z288" s="30" t="s">
        <v>1006</v>
      </c>
      <c r="AA288" s="30" t="n">
        <v>66.15</v>
      </c>
      <c r="AB288" s="30" t="s">
        <v>1006</v>
      </c>
      <c r="AC288" s="30" t="n">
        <v>66.15</v>
      </c>
      <c r="AD288" s="30" t="s">
        <v>1006</v>
      </c>
      <c r="AE288" s="30" t="n">
        <v>19.2</v>
      </c>
      <c r="AF288" s="30" t="s">
        <v>1006</v>
      </c>
      <c r="AG288" s="30" t="n">
        <v>0</v>
      </c>
      <c r="AH288" s="30" t="s">
        <v>1006</v>
      </c>
      <c r="AI288" s="30" t="n">
        <v>0</v>
      </c>
      <c r="AJ288" s="30" t="s">
        <v>1006</v>
      </c>
      <c r="AK288" s="30" t="n">
        <v>0</v>
      </c>
      <c r="AL288" s="30" t="s">
        <v>1006</v>
      </c>
      <c r="AM288" s="30" t="n">
        <v>16.19</v>
      </c>
      <c r="AN288" s="30" t="s">
        <v>1006</v>
      </c>
      <c r="AO288" s="30" t="n">
        <v>27.15</v>
      </c>
      <c r="AP288" s="30" t="s">
        <v>1005</v>
      </c>
      <c r="AQ288" s="30" t="n">
        <v>43.52</v>
      </c>
      <c r="AR288" s="30" t="s">
        <v>1005</v>
      </c>
      <c r="AS288" s="30" t="n">
        <v>54.23</v>
      </c>
      <c r="AT288" s="30" t="s">
        <v>1005</v>
      </c>
      <c r="AU288" s="30" t="n">
        <v>424.89</v>
      </c>
      <c r="AV288" s="30" t="n">
        <v>0.33894</v>
      </c>
      <c r="AW288" s="30" t="s">
        <v>1016</v>
      </c>
      <c r="AX288" s="30" t="s">
        <v>1008</v>
      </c>
      <c r="AY288" s="30" t="n">
        <v>1</v>
      </c>
      <c r="AZ288" s="30"/>
    </row>
    <row collapsed="false" customFormat="true" customHeight="true" hidden="false" ht="33" outlineLevel="0" r="289" s="73">
      <c r="A289" s="30" t="n">
        <v>315</v>
      </c>
      <c r="B289" s="30" t="s">
        <v>473</v>
      </c>
      <c r="C289" s="30" t="s">
        <v>1009</v>
      </c>
      <c r="D289" s="30" t="s">
        <v>999</v>
      </c>
      <c r="E289" s="30" t="s">
        <v>1010</v>
      </c>
      <c r="F289" s="30" t="s">
        <v>1001</v>
      </c>
      <c r="G289" s="30" t="s">
        <v>1002</v>
      </c>
      <c r="H289" s="30" t="s">
        <v>1003</v>
      </c>
      <c r="I289" s="30" t="n">
        <v>1</v>
      </c>
      <c r="J289" s="30"/>
      <c r="K289" s="30" t="n">
        <v>80</v>
      </c>
      <c r="L289" s="30" t="n">
        <v>5.5</v>
      </c>
      <c r="M289" s="30" t="s">
        <v>1015</v>
      </c>
      <c r="N289" s="30" t="s">
        <v>53</v>
      </c>
      <c r="O289" s="30"/>
      <c r="P289" s="30"/>
      <c r="Q289" s="30"/>
      <c r="R289" s="30"/>
      <c r="S289" s="30"/>
      <c r="T289" s="30"/>
      <c r="U289" s="30" t="n">
        <v>499.56</v>
      </c>
      <c r="V289" s="30" t="n">
        <v>711.12</v>
      </c>
      <c r="W289" s="30" t="n">
        <v>66.5</v>
      </c>
      <c r="X289" s="30" t="s">
        <v>1006</v>
      </c>
      <c r="Y289" s="30" t="n">
        <v>66.5</v>
      </c>
      <c r="Z289" s="30" t="s">
        <v>1006</v>
      </c>
      <c r="AA289" s="30" t="n">
        <v>66.5</v>
      </c>
      <c r="AB289" s="30" t="s">
        <v>1006</v>
      </c>
      <c r="AC289" s="30" t="n">
        <v>66.5</v>
      </c>
      <c r="AD289" s="30" t="s">
        <v>1006</v>
      </c>
      <c r="AE289" s="30" t="n">
        <v>19.31</v>
      </c>
      <c r="AF289" s="30" t="s">
        <v>1006</v>
      </c>
      <c r="AG289" s="30" t="n">
        <v>0</v>
      </c>
      <c r="AH289" s="30" t="s">
        <v>1006</v>
      </c>
      <c r="AI289" s="30" t="n">
        <v>0</v>
      </c>
      <c r="AJ289" s="30" t="s">
        <v>1006</v>
      </c>
      <c r="AK289" s="30" t="n">
        <v>0</v>
      </c>
      <c r="AL289" s="30" t="s">
        <v>1006</v>
      </c>
      <c r="AM289" s="30" t="n">
        <v>16.65</v>
      </c>
      <c r="AN289" s="30" t="s">
        <v>1006</v>
      </c>
      <c r="AO289" s="30" t="n">
        <v>71.37</v>
      </c>
      <c r="AP289" s="30" t="s">
        <v>1005</v>
      </c>
      <c r="AQ289" s="30" t="n">
        <v>32.33</v>
      </c>
      <c r="AR289" s="30" t="s">
        <v>1005</v>
      </c>
      <c r="AS289" s="30" t="n">
        <v>60.95</v>
      </c>
      <c r="AT289" s="30" t="s">
        <v>1005</v>
      </c>
      <c r="AU289" s="30" t="n">
        <v>466.61</v>
      </c>
      <c r="AV289" s="30" t="n">
        <v>0.33894</v>
      </c>
      <c r="AW289" s="30" t="s">
        <v>1016</v>
      </c>
      <c r="AX289" s="30" t="s">
        <v>1008</v>
      </c>
      <c r="AY289" s="30" t="n">
        <v>1</v>
      </c>
      <c r="AZ289" s="30"/>
    </row>
    <row collapsed="false" customFormat="true" customHeight="true" hidden="false" ht="33" outlineLevel="0" r="290" s="73">
      <c r="A290" s="30" t="n">
        <v>316</v>
      </c>
      <c r="B290" s="30" t="s">
        <v>474</v>
      </c>
      <c r="C290" s="30" t="s">
        <v>1009</v>
      </c>
      <c r="D290" s="30" t="s">
        <v>999</v>
      </c>
      <c r="E290" s="30" t="s">
        <v>1010</v>
      </c>
      <c r="F290" s="30" t="s">
        <v>1001</v>
      </c>
      <c r="G290" s="30" t="s">
        <v>1002</v>
      </c>
      <c r="H290" s="30" t="s">
        <v>1003</v>
      </c>
      <c r="I290" s="30" t="n">
        <v>1</v>
      </c>
      <c r="J290" s="30"/>
      <c r="K290" s="30" t="n">
        <v>80</v>
      </c>
      <c r="L290" s="30" t="n">
        <v>5.5</v>
      </c>
      <c r="M290" s="30" t="s">
        <v>1015</v>
      </c>
      <c r="N290" s="30" t="s">
        <v>53</v>
      </c>
      <c r="O290" s="30"/>
      <c r="P290" s="30"/>
      <c r="Q290" s="30"/>
      <c r="R290" s="30"/>
      <c r="S290" s="30"/>
      <c r="T290" s="30"/>
      <c r="U290" s="30" t="n">
        <v>486.34</v>
      </c>
      <c r="V290" s="30" t="n">
        <v>708.28</v>
      </c>
      <c r="W290" s="30" t="n">
        <v>66.69</v>
      </c>
      <c r="X290" s="30" t="s">
        <v>1006</v>
      </c>
      <c r="Y290" s="30" t="n">
        <v>66.69</v>
      </c>
      <c r="Z290" s="30" t="s">
        <v>1006</v>
      </c>
      <c r="AA290" s="30" t="n">
        <v>66.69</v>
      </c>
      <c r="AB290" s="30" t="s">
        <v>1006</v>
      </c>
      <c r="AC290" s="30" t="n">
        <v>66.69</v>
      </c>
      <c r="AD290" s="30" t="s">
        <v>1006</v>
      </c>
      <c r="AE290" s="30" t="n">
        <v>19.36</v>
      </c>
      <c r="AF290" s="30" t="s">
        <v>1006</v>
      </c>
      <c r="AG290" s="30" t="n">
        <v>0</v>
      </c>
      <c r="AH290" s="30" t="s">
        <v>1006</v>
      </c>
      <c r="AI290" s="30" t="n">
        <v>0</v>
      </c>
      <c r="AJ290" s="30" t="s">
        <v>1006</v>
      </c>
      <c r="AK290" s="30" t="n">
        <v>0</v>
      </c>
      <c r="AL290" s="30" t="s">
        <v>1006</v>
      </c>
      <c r="AM290" s="30" t="n">
        <v>16.32</v>
      </c>
      <c r="AN290" s="30" t="s">
        <v>1006</v>
      </c>
      <c r="AO290" s="30" t="n">
        <v>69.95</v>
      </c>
      <c r="AP290" s="30" t="s">
        <v>1006</v>
      </c>
      <c r="AQ290" s="30" t="n">
        <v>69.95</v>
      </c>
      <c r="AR290" s="30" t="s">
        <v>1006</v>
      </c>
      <c r="AS290" s="30" t="n">
        <v>33.51</v>
      </c>
      <c r="AT290" s="30" t="s">
        <v>1005</v>
      </c>
      <c r="AU290" s="30" t="n">
        <v>475.85</v>
      </c>
      <c r="AV290" s="30" t="n">
        <v>0.32492</v>
      </c>
      <c r="AW290" s="30" t="s">
        <v>1016</v>
      </c>
      <c r="AX290" s="30" t="s">
        <v>1008</v>
      </c>
      <c r="AY290" s="30" t="n">
        <v>1</v>
      </c>
      <c r="AZ290" s="30"/>
    </row>
    <row collapsed="false" customFormat="true" customHeight="true" hidden="false" ht="33" outlineLevel="0" r="291" s="73">
      <c r="A291" s="30" t="n">
        <v>317</v>
      </c>
      <c r="B291" s="30" t="s">
        <v>475</v>
      </c>
      <c r="C291" s="30" t="s">
        <v>1009</v>
      </c>
      <c r="D291" s="30" t="s">
        <v>999</v>
      </c>
      <c r="E291" s="30" t="s">
        <v>1010</v>
      </c>
      <c r="F291" s="30" t="s">
        <v>1001</v>
      </c>
      <c r="G291" s="30" t="s">
        <v>1002</v>
      </c>
      <c r="H291" s="30" t="s">
        <v>1003</v>
      </c>
      <c r="I291" s="30" t="n">
        <v>2</v>
      </c>
      <c r="J291" s="30"/>
      <c r="K291" s="30" t="n">
        <v>80</v>
      </c>
      <c r="L291" s="30" t="n">
        <v>5.5</v>
      </c>
      <c r="M291" s="30" t="s">
        <v>1015</v>
      </c>
      <c r="N291" s="30" t="s">
        <v>53</v>
      </c>
      <c r="O291" s="30"/>
      <c r="P291" s="30"/>
      <c r="Q291" s="30"/>
      <c r="R291" s="30"/>
      <c r="S291" s="30"/>
      <c r="T291" s="30"/>
      <c r="U291" s="30" t="n">
        <v>2001.23</v>
      </c>
      <c r="V291" s="30" t="n">
        <v>3301.99</v>
      </c>
      <c r="W291" s="30" t="n">
        <v>320.32</v>
      </c>
      <c r="X291" s="30" t="s">
        <v>1006</v>
      </c>
      <c r="Y291" s="30" t="n">
        <v>320.32</v>
      </c>
      <c r="Z291" s="30" t="s">
        <v>1006</v>
      </c>
      <c r="AA291" s="30" t="n">
        <v>320.32</v>
      </c>
      <c r="AB291" s="30" t="s">
        <v>1006</v>
      </c>
      <c r="AC291" s="30" t="n">
        <v>320.32</v>
      </c>
      <c r="AD291" s="30" t="s">
        <v>1006</v>
      </c>
      <c r="AE291" s="30" t="n">
        <v>93</v>
      </c>
      <c r="AF291" s="30" t="s">
        <v>1006</v>
      </c>
      <c r="AG291" s="30" t="n">
        <v>0</v>
      </c>
      <c r="AH291" s="30" t="s">
        <v>1006</v>
      </c>
      <c r="AI291" s="30" t="n">
        <v>0</v>
      </c>
      <c r="AJ291" s="30" t="s">
        <v>1006</v>
      </c>
      <c r="AK291" s="30" t="n">
        <v>0</v>
      </c>
      <c r="AL291" s="30" t="s">
        <v>1006</v>
      </c>
      <c r="AM291" s="30" t="n">
        <v>80.21</v>
      </c>
      <c r="AN291" s="30" t="s">
        <v>1006</v>
      </c>
      <c r="AO291" s="30" t="n">
        <v>343.75</v>
      </c>
      <c r="AP291" s="30" t="s">
        <v>1006</v>
      </c>
      <c r="AQ291" s="30" t="n">
        <v>343.75</v>
      </c>
      <c r="AR291" s="30" t="s">
        <v>1006</v>
      </c>
      <c r="AS291" s="30" t="n">
        <v>343.75</v>
      </c>
      <c r="AT291" s="30" t="s">
        <v>1006</v>
      </c>
      <c r="AU291" s="30" t="n">
        <v>2485.74</v>
      </c>
      <c r="AV291" s="30" t="n">
        <v>1.359334</v>
      </c>
      <c r="AW291" s="30" t="s">
        <v>1016</v>
      </c>
      <c r="AX291" s="30" t="s">
        <v>1008</v>
      </c>
      <c r="AY291" s="30" t="n">
        <v>2</v>
      </c>
      <c r="AZ291" s="30"/>
    </row>
    <row collapsed="false" customFormat="true" customHeight="true" hidden="false" ht="33" outlineLevel="0" r="292" s="73">
      <c r="A292" s="30" t="n">
        <v>318</v>
      </c>
      <c r="B292" s="30" t="s">
        <v>476</v>
      </c>
      <c r="C292" s="30" t="s">
        <v>1009</v>
      </c>
      <c r="D292" s="30" t="s">
        <v>999</v>
      </c>
      <c r="E292" s="30" t="s">
        <v>1010</v>
      </c>
      <c r="F292" s="30" t="s">
        <v>1001</v>
      </c>
      <c r="G292" s="30" t="s">
        <v>1002</v>
      </c>
      <c r="H292" s="30" t="s">
        <v>1003</v>
      </c>
      <c r="I292" s="30" t="n">
        <v>1</v>
      </c>
      <c r="J292" s="30"/>
      <c r="K292" s="30" t="n">
        <v>65</v>
      </c>
      <c r="L292" s="30" t="n">
        <v>5.5</v>
      </c>
      <c r="M292" s="30" t="s">
        <v>1015</v>
      </c>
      <c r="N292" s="30" t="s">
        <v>53</v>
      </c>
      <c r="O292" s="30"/>
      <c r="P292" s="30"/>
      <c r="Q292" s="30"/>
      <c r="R292" s="30"/>
      <c r="S292" s="30"/>
      <c r="T292" s="30"/>
      <c r="U292" s="30" t="n">
        <v>509.11</v>
      </c>
      <c r="V292" s="30" t="n">
        <v>706.63</v>
      </c>
      <c r="W292" s="30" t="n">
        <v>64.41</v>
      </c>
      <c r="X292" s="30" t="s">
        <v>1006</v>
      </c>
      <c r="Y292" s="30" t="n">
        <v>64.41</v>
      </c>
      <c r="Z292" s="30" t="s">
        <v>1006</v>
      </c>
      <c r="AA292" s="30" t="n">
        <v>64.41</v>
      </c>
      <c r="AB292" s="30" t="s">
        <v>1006</v>
      </c>
      <c r="AC292" s="30" t="n">
        <v>64.41</v>
      </c>
      <c r="AD292" s="30" t="s">
        <v>1006</v>
      </c>
      <c r="AE292" s="30" t="n">
        <v>18.7</v>
      </c>
      <c r="AF292" s="30" t="s">
        <v>1006</v>
      </c>
      <c r="AG292" s="30" t="n">
        <v>0</v>
      </c>
      <c r="AH292" s="30" t="s">
        <v>1006</v>
      </c>
      <c r="AI292" s="30" t="n">
        <v>0</v>
      </c>
      <c r="AJ292" s="30" t="s">
        <v>1006</v>
      </c>
      <c r="AK292" s="30" t="n">
        <v>0</v>
      </c>
      <c r="AL292" s="30" t="s">
        <v>1006</v>
      </c>
      <c r="AM292" s="30" t="n">
        <v>13.82</v>
      </c>
      <c r="AN292" s="30" t="s">
        <v>1006</v>
      </c>
      <c r="AO292" s="30" t="n">
        <v>69.12</v>
      </c>
      <c r="AP292" s="30" t="s">
        <v>1005</v>
      </c>
      <c r="AQ292" s="30" t="n">
        <v>30.61</v>
      </c>
      <c r="AR292" s="30" t="s">
        <v>1005</v>
      </c>
      <c r="AS292" s="30" t="n">
        <v>56.52</v>
      </c>
      <c r="AT292" s="30" t="s">
        <v>1005</v>
      </c>
      <c r="AU292" s="30" t="n">
        <v>446.41</v>
      </c>
      <c r="AV292" s="30" t="n">
        <v>0.33294</v>
      </c>
      <c r="AW292" s="30" t="s">
        <v>1016</v>
      </c>
      <c r="AX292" s="30" t="s">
        <v>1008</v>
      </c>
      <c r="AY292" s="30" t="n">
        <v>1</v>
      </c>
      <c r="AZ292" s="30"/>
    </row>
    <row collapsed="false" customFormat="true" customHeight="true" hidden="false" ht="33" outlineLevel="0" r="293" s="73">
      <c r="A293" s="30" t="n">
        <v>319</v>
      </c>
      <c r="B293" s="30" t="s">
        <v>477</v>
      </c>
      <c r="C293" s="30" t="s">
        <v>1009</v>
      </c>
      <c r="D293" s="30" t="s">
        <v>999</v>
      </c>
      <c r="E293" s="30" t="s">
        <v>1010</v>
      </c>
      <c r="F293" s="30" t="s">
        <v>1001</v>
      </c>
      <c r="G293" s="30" t="s">
        <v>1002</v>
      </c>
      <c r="H293" s="30" t="s">
        <v>1003</v>
      </c>
      <c r="I293" s="30" t="n">
        <v>1</v>
      </c>
      <c r="J293" s="30"/>
      <c r="K293" s="30" t="n">
        <v>65</v>
      </c>
      <c r="L293" s="30" t="n">
        <v>5.5</v>
      </c>
      <c r="M293" s="30" t="s">
        <v>1015</v>
      </c>
      <c r="N293" s="30" t="s">
        <v>53</v>
      </c>
      <c r="O293" s="30"/>
      <c r="P293" s="30"/>
      <c r="Q293" s="30"/>
      <c r="R293" s="30"/>
      <c r="S293" s="30"/>
      <c r="T293" s="30"/>
      <c r="U293" s="30" t="n">
        <v>509.18</v>
      </c>
      <c r="V293" s="30" t="n">
        <v>714.14</v>
      </c>
      <c r="W293" s="30" t="n">
        <v>64.92</v>
      </c>
      <c r="X293" s="30" t="s">
        <v>1006</v>
      </c>
      <c r="Y293" s="30" t="n">
        <v>64.92</v>
      </c>
      <c r="Z293" s="30" t="s">
        <v>1006</v>
      </c>
      <c r="AA293" s="30" t="n">
        <v>64.92</v>
      </c>
      <c r="AB293" s="30" t="s">
        <v>1006</v>
      </c>
      <c r="AC293" s="30" t="n">
        <v>64.92</v>
      </c>
      <c r="AD293" s="30" t="s">
        <v>1006</v>
      </c>
      <c r="AE293" s="30" t="n">
        <v>18.85</v>
      </c>
      <c r="AF293" s="30" t="s">
        <v>1006</v>
      </c>
      <c r="AG293" s="30" t="n">
        <v>0</v>
      </c>
      <c r="AH293" s="30" t="s">
        <v>1006</v>
      </c>
      <c r="AI293" s="30" t="n">
        <v>0</v>
      </c>
      <c r="AJ293" s="30" t="s">
        <v>1006</v>
      </c>
      <c r="AK293" s="30" t="n">
        <v>0</v>
      </c>
      <c r="AL293" s="30" t="s">
        <v>1006</v>
      </c>
      <c r="AM293" s="30" t="n">
        <v>13.93</v>
      </c>
      <c r="AN293" s="30" t="s">
        <v>1006</v>
      </c>
      <c r="AO293" s="30" t="n">
        <v>69.67</v>
      </c>
      <c r="AP293" s="30" t="s">
        <v>1005</v>
      </c>
      <c r="AQ293" s="30" t="n">
        <v>41.35</v>
      </c>
      <c r="AR293" s="30" t="s">
        <v>1005</v>
      </c>
      <c r="AS293" s="30" t="n">
        <v>52.32</v>
      </c>
      <c r="AT293" s="30" t="s">
        <v>1005</v>
      </c>
      <c r="AU293" s="30" t="n">
        <v>455.8</v>
      </c>
      <c r="AV293" s="30" t="n">
        <v>0.34095</v>
      </c>
      <c r="AW293" s="30" t="s">
        <v>1016</v>
      </c>
      <c r="AX293" s="30" t="s">
        <v>1008</v>
      </c>
      <c r="AY293" s="30" t="n">
        <v>1</v>
      </c>
      <c r="AZ293" s="30"/>
    </row>
    <row collapsed="false" customFormat="true" customHeight="true" hidden="false" ht="33" outlineLevel="0" r="294" s="73">
      <c r="A294" s="30" t="n">
        <v>320</v>
      </c>
      <c r="B294" s="30" t="s">
        <v>478</v>
      </c>
      <c r="C294" s="30" t="s">
        <v>1009</v>
      </c>
      <c r="D294" s="30" t="s">
        <v>999</v>
      </c>
      <c r="E294" s="30" t="s">
        <v>1010</v>
      </c>
      <c r="F294" s="30" t="s">
        <v>1001</v>
      </c>
      <c r="G294" s="30" t="s">
        <v>1002</v>
      </c>
      <c r="H294" s="30" t="s">
        <v>1003</v>
      </c>
      <c r="I294" s="30" t="n">
        <v>0</v>
      </c>
      <c r="J294" s="30"/>
      <c r="K294" s="30" t="n">
        <v>65</v>
      </c>
      <c r="L294" s="30" t="n">
        <v>5.5</v>
      </c>
      <c r="M294" s="30" t="s">
        <v>1015</v>
      </c>
      <c r="N294" s="30" t="s">
        <v>53</v>
      </c>
      <c r="O294" s="30"/>
      <c r="P294" s="30"/>
      <c r="Q294" s="30"/>
      <c r="R294" s="30"/>
      <c r="S294" s="30"/>
      <c r="T294" s="30"/>
      <c r="U294" s="30" t="n">
        <v>264.08</v>
      </c>
      <c r="V294" s="30" t="n">
        <v>357.26</v>
      </c>
      <c r="W294" s="30" t="n">
        <v>32.05</v>
      </c>
      <c r="X294" s="30" t="s">
        <v>1006</v>
      </c>
      <c r="Y294" s="30" t="n">
        <v>32.05</v>
      </c>
      <c r="Z294" s="30" t="s">
        <v>1006</v>
      </c>
      <c r="AA294" s="30" t="n">
        <v>32.05</v>
      </c>
      <c r="AB294" s="30" t="s">
        <v>1006</v>
      </c>
      <c r="AC294" s="30" t="n">
        <v>32.05</v>
      </c>
      <c r="AD294" s="30" t="s">
        <v>1006</v>
      </c>
      <c r="AE294" s="30" t="n">
        <v>9.3</v>
      </c>
      <c r="AF294" s="30" t="s">
        <v>1006</v>
      </c>
      <c r="AG294" s="30" t="n">
        <v>0</v>
      </c>
      <c r="AH294" s="30" t="s">
        <v>1006</v>
      </c>
      <c r="AI294" s="30" t="n">
        <v>0</v>
      </c>
      <c r="AJ294" s="30" t="s">
        <v>1006</v>
      </c>
      <c r="AK294" s="30" t="n">
        <v>0</v>
      </c>
      <c r="AL294" s="30" t="s">
        <v>1006</v>
      </c>
      <c r="AM294" s="30" t="n">
        <v>6.88</v>
      </c>
      <c r="AN294" s="30" t="s">
        <v>1006</v>
      </c>
      <c r="AO294" s="30" t="n">
        <v>34.39</v>
      </c>
      <c r="AP294" s="30" t="s">
        <v>1006</v>
      </c>
      <c r="AQ294" s="30" t="n">
        <v>34.39</v>
      </c>
      <c r="AR294" s="30" t="s">
        <v>1006</v>
      </c>
      <c r="AS294" s="30" t="n">
        <v>34.39</v>
      </c>
      <c r="AT294" s="30" t="s">
        <v>1006</v>
      </c>
      <c r="AU294" s="30" t="n">
        <v>247.55</v>
      </c>
      <c r="AV294" s="30" t="n">
        <v>0.16648</v>
      </c>
      <c r="AW294" s="30" t="s">
        <v>1016</v>
      </c>
      <c r="AX294" s="30" t="s">
        <v>1008</v>
      </c>
      <c r="AY294" s="30" t="n">
        <v>1</v>
      </c>
      <c r="AZ294" s="30"/>
    </row>
    <row collapsed="false" customFormat="true" customHeight="true" hidden="false" ht="33" outlineLevel="0" r="295" s="73">
      <c r="A295" s="30" t="n">
        <v>321</v>
      </c>
      <c r="B295" s="30" t="s">
        <v>479</v>
      </c>
      <c r="C295" s="30" t="s">
        <v>1009</v>
      </c>
      <c r="D295" s="30" t="s">
        <v>999</v>
      </c>
      <c r="E295" s="30" t="s">
        <v>1010</v>
      </c>
      <c r="F295" s="30" t="s">
        <v>1001</v>
      </c>
      <c r="G295" s="30" t="s">
        <v>1002</v>
      </c>
      <c r="H295" s="30" t="s">
        <v>1003</v>
      </c>
      <c r="I295" s="30" t="n">
        <v>3</v>
      </c>
      <c r="J295" s="30"/>
      <c r="K295" s="30" t="n">
        <v>80</v>
      </c>
      <c r="L295" s="30" t="n">
        <v>5.5</v>
      </c>
      <c r="M295" s="30" t="s">
        <v>1015</v>
      </c>
      <c r="N295" s="30" t="s">
        <v>53</v>
      </c>
      <c r="O295" s="30"/>
      <c r="P295" s="30"/>
      <c r="Q295" s="30"/>
      <c r="R295" s="30"/>
      <c r="S295" s="30"/>
      <c r="T295" s="30"/>
      <c r="U295" s="30" t="n">
        <v>3261.16</v>
      </c>
      <c r="V295" s="30" t="n">
        <v>4016.57</v>
      </c>
      <c r="W295" s="30" t="n">
        <v>356.73</v>
      </c>
      <c r="X295" s="30" t="s">
        <v>1006</v>
      </c>
      <c r="Y295" s="30" t="n">
        <v>356.73</v>
      </c>
      <c r="Z295" s="30" t="s">
        <v>1006</v>
      </c>
      <c r="AA295" s="30" t="n">
        <v>356.73</v>
      </c>
      <c r="AB295" s="30" t="s">
        <v>1006</v>
      </c>
      <c r="AC295" s="30" t="n">
        <v>356.73</v>
      </c>
      <c r="AD295" s="30" t="s">
        <v>1006</v>
      </c>
      <c r="AE295" s="30" t="n">
        <v>103.57</v>
      </c>
      <c r="AF295" s="30" t="s">
        <v>1006</v>
      </c>
      <c r="AG295" s="30" t="n">
        <v>0</v>
      </c>
      <c r="AH295" s="30" t="s">
        <v>1006</v>
      </c>
      <c r="AI295" s="30" t="n">
        <v>0</v>
      </c>
      <c r="AJ295" s="30" t="s">
        <v>1006</v>
      </c>
      <c r="AK295" s="30" t="n">
        <v>0</v>
      </c>
      <c r="AL295" s="30" t="s">
        <v>1006</v>
      </c>
      <c r="AM295" s="30" t="n">
        <v>76.57</v>
      </c>
      <c r="AN295" s="30" t="s">
        <v>1006</v>
      </c>
      <c r="AO295" s="30" t="n">
        <v>382.83</v>
      </c>
      <c r="AP295" s="30" t="s">
        <v>1005</v>
      </c>
      <c r="AQ295" s="30" t="n">
        <v>167.98</v>
      </c>
      <c r="AR295" s="30" t="s">
        <v>1005</v>
      </c>
      <c r="AS295" s="30" t="n">
        <v>299.71</v>
      </c>
      <c r="AT295" s="30" t="s">
        <v>1005</v>
      </c>
      <c r="AU295" s="30" t="n">
        <v>2457.58</v>
      </c>
      <c r="AV295" s="30" t="n">
        <v>2.023926</v>
      </c>
      <c r="AW295" s="30" t="s">
        <v>1016</v>
      </c>
      <c r="AX295" s="30" t="s">
        <v>1008</v>
      </c>
      <c r="AY295" s="30" t="n">
        <v>3</v>
      </c>
      <c r="AZ295" s="30"/>
    </row>
    <row collapsed="false" customFormat="true" customHeight="true" hidden="false" ht="33" outlineLevel="0" r="296" s="73">
      <c r="A296" s="30" t="n">
        <v>322</v>
      </c>
      <c r="B296" s="30" t="s">
        <v>480</v>
      </c>
      <c r="C296" s="30" t="s">
        <v>1009</v>
      </c>
      <c r="D296" s="30" t="s">
        <v>999</v>
      </c>
      <c r="E296" s="30" t="s">
        <v>1010</v>
      </c>
      <c r="F296" s="30" t="s">
        <v>1001</v>
      </c>
      <c r="G296" s="30" t="s">
        <v>1002</v>
      </c>
      <c r="H296" s="30" t="s">
        <v>1003</v>
      </c>
      <c r="I296" s="30" t="n">
        <v>1</v>
      </c>
      <c r="J296" s="30"/>
      <c r="K296" s="30" t="n">
        <v>80</v>
      </c>
      <c r="L296" s="30" t="n">
        <v>5.5</v>
      </c>
      <c r="M296" s="30" t="s">
        <v>1015</v>
      </c>
      <c r="N296" s="30" t="s">
        <v>53</v>
      </c>
      <c r="O296" s="30"/>
      <c r="P296" s="30"/>
      <c r="Q296" s="30"/>
      <c r="R296" s="30"/>
      <c r="S296" s="30"/>
      <c r="T296" s="30"/>
      <c r="U296" s="30" t="n">
        <v>560.83</v>
      </c>
      <c r="V296" s="30" t="n">
        <v>765.16</v>
      </c>
      <c r="W296" s="30" t="n">
        <v>70.6</v>
      </c>
      <c r="X296" s="30" t="s">
        <v>1006</v>
      </c>
      <c r="Y296" s="30" t="n">
        <v>70.6</v>
      </c>
      <c r="Z296" s="30" t="s">
        <v>1006</v>
      </c>
      <c r="AA296" s="30" t="n">
        <v>90.79</v>
      </c>
      <c r="AB296" s="30" t="s">
        <v>1006</v>
      </c>
      <c r="AC296" s="30" t="n">
        <v>40.78</v>
      </c>
      <c r="AD296" s="30" t="s">
        <v>1006</v>
      </c>
      <c r="AE296" s="30" t="n">
        <v>20.5</v>
      </c>
      <c r="AF296" s="30" t="s">
        <v>1006</v>
      </c>
      <c r="AG296" s="30" t="n">
        <v>0</v>
      </c>
      <c r="AH296" s="30" t="s">
        <v>1006</v>
      </c>
      <c r="AI296" s="30" t="n">
        <v>0</v>
      </c>
      <c r="AJ296" s="30" t="s">
        <v>1006</v>
      </c>
      <c r="AK296" s="30" t="n">
        <v>0</v>
      </c>
      <c r="AL296" s="30" t="s">
        <v>1006</v>
      </c>
      <c r="AM296" s="30" t="n">
        <v>7.13</v>
      </c>
      <c r="AN296" s="30" t="s">
        <v>1006</v>
      </c>
      <c r="AO296" s="30" t="n">
        <v>38.13</v>
      </c>
      <c r="AP296" s="30" t="s">
        <v>1005</v>
      </c>
      <c r="AQ296" s="30" t="n">
        <v>48.92</v>
      </c>
      <c r="AR296" s="30" t="s">
        <v>1005</v>
      </c>
      <c r="AS296" s="30" t="n">
        <v>63.42</v>
      </c>
      <c r="AT296" s="30" t="s">
        <v>1005</v>
      </c>
      <c r="AU296" s="30" t="n">
        <v>450.87</v>
      </c>
      <c r="AV296" s="30" t="n">
        <v>0.36804</v>
      </c>
      <c r="AW296" s="30" t="s">
        <v>1016</v>
      </c>
      <c r="AX296" s="30" t="s">
        <v>1008</v>
      </c>
      <c r="AY296" s="30" t="n">
        <v>1</v>
      </c>
      <c r="AZ296" s="30"/>
    </row>
    <row collapsed="false" customFormat="true" customHeight="true" hidden="false" ht="33" outlineLevel="0" r="297" s="73">
      <c r="A297" s="30" t="n">
        <v>323</v>
      </c>
      <c r="B297" s="30" t="s">
        <v>481</v>
      </c>
      <c r="C297" s="30" t="s">
        <v>1009</v>
      </c>
      <c r="D297" s="30" t="s">
        <v>999</v>
      </c>
      <c r="E297" s="30" t="s">
        <v>1010</v>
      </c>
      <c r="F297" s="30" t="s">
        <v>1001</v>
      </c>
      <c r="G297" s="30" t="s">
        <v>1002</v>
      </c>
      <c r="H297" s="30" t="s">
        <v>1003</v>
      </c>
      <c r="I297" s="30" t="n">
        <v>1</v>
      </c>
      <c r="J297" s="30"/>
      <c r="K297" s="30" t="n">
        <v>80</v>
      </c>
      <c r="L297" s="30" t="n">
        <v>5.5</v>
      </c>
      <c r="M297" s="30" t="s">
        <v>1015</v>
      </c>
      <c r="N297" s="30" t="s">
        <v>53</v>
      </c>
      <c r="O297" s="30"/>
      <c r="P297" s="30"/>
      <c r="Q297" s="30"/>
      <c r="R297" s="30"/>
      <c r="S297" s="30"/>
      <c r="T297" s="30"/>
      <c r="U297" s="30" t="n">
        <v>554.4</v>
      </c>
      <c r="V297" s="30" t="n">
        <v>763.06</v>
      </c>
      <c r="W297" s="30" t="n">
        <v>71.72</v>
      </c>
      <c r="X297" s="30" t="s">
        <v>1006</v>
      </c>
      <c r="Y297" s="30" t="n">
        <v>71.72</v>
      </c>
      <c r="Z297" s="30" t="s">
        <v>1006</v>
      </c>
      <c r="AA297" s="30" t="n">
        <v>71.72</v>
      </c>
      <c r="AB297" s="30" t="s">
        <v>1006</v>
      </c>
      <c r="AC297" s="30" t="n">
        <v>71.72</v>
      </c>
      <c r="AD297" s="30" t="s">
        <v>1006</v>
      </c>
      <c r="AE297" s="30" t="n">
        <v>20.82</v>
      </c>
      <c r="AF297" s="30" t="s">
        <v>1006</v>
      </c>
      <c r="AG297" s="30" t="n">
        <v>0</v>
      </c>
      <c r="AH297" s="30" t="s">
        <v>1006</v>
      </c>
      <c r="AI297" s="30" t="n">
        <v>0</v>
      </c>
      <c r="AJ297" s="30" t="s">
        <v>1006</v>
      </c>
      <c r="AK297" s="30" t="n">
        <v>0</v>
      </c>
      <c r="AL297" s="30" t="s">
        <v>1006</v>
      </c>
      <c r="AM297" s="30" t="n">
        <v>17.96</v>
      </c>
      <c r="AN297" s="30" t="s">
        <v>1006</v>
      </c>
      <c r="AO297" s="30" t="n">
        <v>76.96</v>
      </c>
      <c r="AP297" s="30" t="s">
        <v>1006</v>
      </c>
      <c r="AQ297" s="30" t="n">
        <v>76.96</v>
      </c>
      <c r="AR297" s="30" t="s">
        <v>1006</v>
      </c>
      <c r="AS297" s="30" t="n">
        <v>76.96</v>
      </c>
      <c r="AT297" s="30" t="s">
        <v>1006</v>
      </c>
      <c r="AU297" s="30" t="n">
        <v>556.54</v>
      </c>
      <c r="AV297" s="30" t="n">
        <v>0.36904</v>
      </c>
      <c r="AW297" s="30" t="s">
        <v>1016</v>
      </c>
      <c r="AX297" s="30" t="s">
        <v>1008</v>
      </c>
      <c r="AY297" s="30" t="n">
        <v>1</v>
      </c>
      <c r="AZ297" s="30"/>
    </row>
    <row collapsed="false" customFormat="true" customHeight="true" hidden="false" ht="33" outlineLevel="0" r="298" s="73">
      <c r="A298" s="30" t="n">
        <v>324</v>
      </c>
      <c r="B298" s="30" t="s">
        <v>482</v>
      </c>
      <c r="C298" s="30" t="s">
        <v>1009</v>
      </c>
      <c r="D298" s="30" t="s">
        <v>999</v>
      </c>
      <c r="E298" s="30" t="s">
        <v>1010</v>
      </c>
      <c r="F298" s="30" t="s">
        <v>1001</v>
      </c>
      <c r="G298" s="30" t="s">
        <v>1002</v>
      </c>
      <c r="H298" s="30" t="s">
        <v>1003</v>
      </c>
      <c r="I298" s="30" t="n">
        <v>3</v>
      </c>
      <c r="J298" s="30"/>
      <c r="K298" s="30" t="n">
        <v>80</v>
      </c>
      <c r="L298" s="30" t="n">
        <v>5.5</v>
      </c>
      <c r="M298" s="30" t="s">
        <v>1015</v>
      </c>
      <c r="N298" s="30" t="s">
        <v>53</v>
      </c>
      <c r="O298" s="30"/>
      <c r="P298" s="30"/>
      <c r="Q298" s="30"/>
      <c r="R298" s="30"/>
      <c r="S298" s="30"/>
      <c r="T298" s="30"/>
      <c r="U298" s="30" t="n">
        <v>2604.82</v>
      </c>
      <c r="V298" s="30" t="n">
        <v>3110.88</v>
      </c>
      <c r="W298" s="30" t="n">
        <v>288.86</v>
      </c>
      <c r="X298" s="30" t="s">
        <v>1006</v>
      </c>
      <c r="Y298" s="30" t="n">
        <v>288.86</v>
      </c>
      <c r="Z298" s="30" t="s">
        <v>1006</v>
      </c>
      <c r="AA298" s="30" t="n">
        <v>288.86</v>
      </c>
      <c r="AB298" s="30" t="s">
        <v>1006</v>
      </c>
      <c r="AC298" s="30" t="n">
        <v>288.86</v>
      </c>
      <c r="AD298" s="30" t="s">
        <v>1006</v>
      </c>
      <c r="AE298" s="30" t="n">
        <v>83.86</v>
      </c>
      <c r="AF298" s="30" t="s">
        <v>1006</v>
      </c>
      <c r="AG298" s="30" t="n">
        <v>0</v>
      </c>
      <c r="AH298" s="30" t="s">
        <v>1006</v>
      </c>
      <c r="AI298" s="30" t="n">
        <v>0</v>
      </c>
      <c r="AJ298" s="30" t="s">
        <v>1006</v>
      </c>
      <c r="AK298" s="30" t="n">
        <v>0</v>
      </c>
      <c r="AL298" s="30" t="s">
        <v>1006</v>
      </c>
      <c r="AM298" s="30" t="n">
        <v>62</v>
      </c>
      <c r="AN298" s="30" t="s">
        <v>1006</v>
      </c>
      <c r="AO298" s="30" t="n">
        <v>208.39</v>
      </c>
      <c r="AP298" s="30" t="s">
        <v>1005</v>
      </c>
      <c r="AQ298" s="30" t="n">
        <v>247.79</v>
      </c>
      <c r="AR298" s="30" t="s">
        <v>1005</v>
      </c>
      <c r="AS298" s="30" t="n">
        <v>324.89</v>
      </c>
      <c r="AT298" s="30" t="s">
        <v>1005</v>
      </c>
      <c r="AU298" s="30" t="n">
        <v>2082.37</v>
      </c>
      <c r="AV298" s="30" t="n">
        <v>1.608632</v>
      </c>
      <c r="AW298" s="30" t="s">
        <v>1016</v>
      </c>
      <c r="AX298" s="30" t="s">
        <v>1008</v>
      </c>
      <c r="AY298" s="30" t="n">
        <v>3</v>
      </c>
      <c r="AZ298" s="30"/>
    </row>
    <row collapsed="false" customFormat="true" customHeight="true" hidden="false" ht="33" outlineLevel="0" r="299" s="73">
      <c r="A299" s="30" t="n">
        <v>325</v>
      </c>
      <c r="B299" s="30" t="s">
        <v>483</v>
      </c>
      <c r="C299" s="30" t="s">
        <v>1009</v>
      </c>
      <c r="D299" s="30" t="s">
        <v>999</v>
      </c>
      <c r="E299" s="30" t="s">
        <v>1010</v>
      </c>
      <c r="F299" s="30" t="s">
        <v>1001</v>
      </c>
      <c r="G299" s="30" t="s">
        <v>1002</v>
      </c>
      <c r="H299" s="30" t="s">
        <v>1003</v>
      </c>
      <c r="I299" s="30" t="n">
        <v>1</v>
      </c>
      <c r="J299" s="30"/>
      <c r="K299" s="30" t="n">
        <v>65</v>
      </c>
      <c r="L299" s="30" t="n">
        <v>5.5</v>
      </c>
      <c r="M299" s="30" t="s">
        <v>1015</v>
      </c>
      <c r="N299" s="30" t="s">
        <v>53</v>
      </c>
      <c r="O299" s="30"/>
      <c r="P299" s="30"/>
      <c r="Q299" s="30"/>
      <c r="R299" s="30"/>
      <c r="S299" s="30"/>
      <c r="T299" s="30"/>
      <c r="U299" s="30" t="n">
        <v>299.72</v>
      </c>
      <c r="V299" s="30" t="n">
        <v>459.72</v>
      </c>
      <c r="W299" s="30" t="n">
        <v>17.59</v>
      </c>
      <c r="X299" s="30" t="s">
        <v>1005</v>
      </c>
      <c r="Y299" s="30" t="n">
        <v>38.08</v>
      </c>
      <c r="Z299" s="30" t="s">
        <v>1005</v>
      </c>
      <c r="AA299" s="30" t="n">
        <v>49.67</v>
      </c>
      <c r="AB299" s="30" t="s">
        <v>1005</v>
      </c>
      <c r="AC299" s="30" t="n">
        <v>22.15</v>
      </c>
      <c r="AD299" s="30" t="s">
        <v>1005</v>
      </c>
      <c r="AE299" s="30" t="n">
        <v>13.12</v>
      </c>
      <c r="AF299" s="30" t="s">
        <v>1005</v>
      </c>
      <c r="AG299" s="30" t="n">
        <v>0</v>
      </c>
      <c r="AH299" s="30" t="s">
        <v>1006</v>
      </c>
      <c r="AI299" s="30" t="n">
        <v>0</v>
      </c>
      <c r="AJ299" s="30" t="s">
        <v>1006</v>
      </c>
      <c r="AK299" s="30" t="n">
        <v>0</v>
      </c>
      <c r="AL299" s="30" t="s">
        <v>1006</v>
      </c>
      <c r="AM299" s="30" t="n">
        <v>3.02</v>
      </c>
      <c r="AN299" s="30" t="s">
        <v>1006</v>
      </c>
      <c r="AO299" s="30" t="n">
        <v>20.52</v>
      </c>
      <c r="AP299" s="30" t="s">
        <v>1005</v>
      </c>
      <c r="AQ299" s="30" t="n">
        <v>25.65</v>
      </c>
      <c r="AR299" s="30" t="s">
        <v>1005</v>
      </c>
      <c r="AS299" s="30" t="n">
        <v>33.35</v>
      </c>
      <c r="AT299" s="30" t="s">
        <v>1005</v>
      </c>
      <c r="AU299" s="30" t="n">
        <v>223.15</v>
      </c>
      <c r="AV299" s="30" t="n">
        <v>0.20856</v>
      </c>
      <c r="AW299" s="30" t="s">
        <v>1016</v>
      </c>
      <c r="AX299" s="30" t="s">
        <v>1008</v>
      </c>
      <c r="AY299" s="30" t="n">
        <v>1</v>
      </c>
      <c r="AZ299" s="30"/>
    </row>
    <row collapsed="false" customFormat="true" customHeight="true" hidden="false" ht="33" outlineLevel="0" r="300" s="73">
      <c r="A300" s="30" t="n">
        <v>326</v>
      </c>
      <c r="B300" s="30" t="s">
        <v>484</v>
      </c>
      <c r="C300" s="30" t="s">
        <v>1009</v>
      </c>
      <c r="D300" s="30" t="s">
        <v>999</v>
      </c>
      <c r="E300" s="30" t="s">
        <v>1010</v>
      </c>
      <c r="F300" s="30" t="s">
        <v>1001</v>
      </c>
      <c r="G300" s="30" t="s">
        <v>1002</v>
      </c>
      <c r="H300" s="30" t="s">
        <v>1003</v>
      </c>
      <c r="I300" s="30" t="n">
        <v>0</v>
      </c>
      <c r="J300" s="30"/>
      <c r="K300" s="30" t="n">
        <v>65</v>
      </c>
      <c r="L300" s="30" t="n">
        <v>5.5</v>
      </c>
      <c r="M300" s="30" t="s">
        <v>1015</v>
      </c>
      <c r="N300" s="30" t="s">
        <v>53</v>
      </c>
      <c r="O300" s="30"/>
      <c r="P300" s="30"/>
      <c r="Q300" s="30"/>
      <c r="R300" s="30"/>
      <c r="S300" s="30"/>
      <c r="T300" s="30"/>
      <c r="U300" s="30" t="n">
        <v>276.27</v>
      </c>
      <c r="V300" s="30" t="n">
        <v>369.19</v>
      </c>
      <c r="W300" s="30" t="n">
        <v>33.29</v>
      </c>
      <c r="X300" s="30" t="s">
        <v>1006</v>
      </c>
      <c r="Y300" s="30" t="n">
        <v>33.29</v>
      </c>
      <c r="Z300" s="30" t="s">
        <v>1006</v>
      </c>
      <c r="AA300" s="30" t="n">
        <v>33.29</v>
      </c>
      <c r="AB300" s="30" t="s">
        <v>1006</v>
      </c>
      <c r="AC300" s="30" t="n">
        <v>33.29</v>
      </c>
      <c r="AD300" s="30" t="s">
        <v>1006</v>
      </c>
      <c r="AE300" s="30" t="n">
        <v>9.66</v>
      </c>
      <c r="AF300" s="30" t="s">
        <v>1006</v>
      </c>
      <c r="AG300" s="30" t="n">
        <v>0</v>
      </c>
      <c r="AH300" s="30" t="s">
        <v>1006</v>
      </c>
      <c r="AI300" s="30" t="n">
        <v>0</v>
      </c>
      <c r="AJ300" s="30" t="s">
        <v>1006</v>
      </c>
      <c r="AK300" s="30" t="n">
        <v>0</v>
      </c>
      <c r="AL300" s="30" t="s">
        <v>1006</v>
      </c>
      <c r="AM300" s="30" t="n">
        <v>7.14</v>
      </c>
      <c r="AN300" s="30" t="s">
        <v>1006</v>
      </c>
      <c r="AO300" s="30" t="n">
        <v>35.72</v>
      </c>
      <c r="AP300" s="30" t="s">
        <v>1006</v>
      </c>
      <c r="AQ300" s="30" t="n">
        <v>35.72</v>
      </c>
      <c r="AR300" s="30" t="s">
        <v>1006</v>
      </c>
      <c r="AS300" s="30" t="n">
        <v>35.72</v>
      </c>
      <c r="AT300" s="30" t="s">
        <v>1006</v>
      </c>
      <c r="AU300" s="30" t="n">
        <v>257.12</v>
      </c>
      <c r="AV300" s="30" t="n">
        <v>0.18151</v>
      </c>
      <c r="AW300" s="30" t="s">
        <v>1016</v>
      </c>
      <c r="AX300" s="30" t="s">
        <v>1008</v>
      </c>
      <c r="AY300" s="30" t="n">
        <v>1</v>
      </c>
      <c r="AZ300" s="30"/>
    </row>
    <row collapsed="false" customFormat="true" customHeight="true" hidden="false" ht="33" outlineLevel="0" r="301" s="73">
      <c r="A301" s="30" t="n">
        <v>327</v>
      </c>
      <c r="B301" s="30" t="s">
        <v>485</v>
      </c>
      <c r="C301" s="30" t="s">
        <v>1009</v>
      </c>
      <c r="D301" s="30" t="s">
        <v>999</v>
      </c>
      <c r="E301" s="30" t="s">
        <v>1010</v>
      </c>
      <c r="F301" s="30" t="s">
        <v>1001</v>
      </c>
      <c r="G301" s="30" t="s">
        <v>1002</v>
      </c>
      <c r="H301" s="30" t="s">
        <v>1003</v>
      </c>
      <c r="I301" s="30" t="n">
        <v>1</v>
      </c>
      <c r="J301" s="30"/>
      <c r="K301" s="30" t="n">
        <v>65</v>
      </c>
      <c r="L301" s="30" t="n">
        <v>5.5</v>
      </c>
      <c r="M301" s="30" t="s">
        <v>1015</v>
      </c>
      <c r="N301" s="30" t="s">
        <v>53</v>
      </c>
      <c r="O301" s="30"/>
      <c r="P301" s="30"/>
      <c r="Q301" s="30"/>
      <c r="R301" s="30"/>
      <c r="S301" s="30"/>
      <c r="T301" s="30"/>
      <c r="U301" s="30" t="n">
        <v>474.16</v>
      </c>
      <c r="V301" s="30" t="n">
        <v>860.43</v>
      </c>
      <c r="W301" s="30" t="n">
        <v>85.08</v>
      </c>
      <c r="X301" s="30" t="s">
        <v>1006</v>
      </c>
      <c r="Y301" s="30" t="n">
        <v>85.08</v>
      </c>
      <c r="Z301" s="30" t="s">
        <v>1006</v>
      </c>
      <c r="AA301" s="30" t="n">
        <v>85.08</v>
      </c>
      <c r="AB301" s="30" t="s">
        <v>1006</v>
      </c>
      <c r="AC301" s="30" t="n">
        <v>85.08</v>
      </c>
      <c r="AD301" s="30" t="s">
        <v>1006</v>
      </c>
      <c r="AE301" s="30" t="n">
        <v>24.7</v>
      </c>
      <c r="AF301" s="30" t="s">
        <v>1006</v>
      </c>
      <c r="AG301" s="30" t="n">
        <v>0</v>
      </c>
      <c r="AH301" s="30" t="s">
        <v>1006</v>
      </c>
      <c r="AI301" s="30" t="n">
        <v>0</v>
      </c>
      <c r="AJ301" s="30" t="s">
        <v>1006</v>
      </c>
      <c r="AK301" s="30" t="n">
        <v>0</v>
      </c>
      <c r="AL301" s="30" t="s">
        <v>1006</v>
      </c>
      <c r="AM301" s="30" t="n">
        <v>18.26</v>
      </c>
      <c r="AN301" s="30" t="s">
        <v>1006</v>
      </c>
      <c r="AO301" s="30" t="n">
        <v>91.31</v>
      </c>
      <c r="AP301" s="30" t="s">
        <v>1006</v>
      </c>
      <c r="AQ301" s="30" t="n">
        <v>91.31</v>
      </c>
      <c r="AR301" s="30" t="s">
        <v>1006</v>
      </c>
      <c r="AS301" s="30" t="n">
        <v>40.18</v>
      </c>
      <c r="AT301" s="30" t="s">
        <v>1006</v>
      </c>
      <c r="AU301" s="30" t="n">
        <v>606.08</v>
      </c>
      <c r="AV301" s="30" t="n">
        <v>0.32189</v>
      </c>
      <c r="AW301" s="30" t="s">
        <v>1016</v>
      </c>
      <c r="AX301" s="30" t="s">
        <v>1008</v>
      </c>
      <c r="AY301" s="30" t="n">
        <v>1</v>
      </c>
      <c r="AZ301" s="30"/>
    </row>
    <row collapsed="false" customFormat="true" customHeight="true" hidden="false" ht="33" outlineLevel="0" r="302" s="73">
      <c r="A302" s="30" t="n">
        <v>328</v>
      </c>
      <c r="B302" s="30" t="s">
        <v>486</v>
      </c>
      <c r="C302" s="30" t="s">
        <v>1009</v>
      </c>
      <c r="D302" s="30" t="s">
        <v>999</v>
      </c>
      <c r="E302" s="30" t="s">
        <v>1010</v>
      </c>
      <c r="F302" s="30" t="s">
        <v>1001</v>
      </c>
      <c r="G302" s="30" t="s">
        <v>1002</v>
      </c>
      <c r="H302" s="30" t="s">
        <v>1003</v>
      </c>
      <c r="I302" s="30" t="n">
        <v>1</v>
      </c>
      <c r="J302" s="30"/>
      <c r="K302" s="30" t="n">
        <v>65</v>
      </c>
      <c r="L302" s="30" t="n">
        <v>5.5</v>
      </c>
      <c r="M302" s="30" t="s">
        <v>1015</v>
      </c>
      <c r="N302" s="30" t="s">
        <v>53</v>
      </c>
      <c r="O302" s="30"/>
      <c r="P302" s="30"/>
      <c r="Q302" s="30"/>
      <c r="R302" s="30"/>
      <c r="S302" s="30"/>
      <c r="T302" s="30"/>
      <c r="U302" s="30" t="n">
        <v>560.83</v>
      </c>
      <c r="V302" s="30" t="n">
        <v>802.22</v>
      </c>
      <c r="W302" s="30" t="n">
        <v>84.53</v>
      </c>
      <c r="X302" s="30" t="s">
        <v>1006</v>
      </c>
      <c r="Y302" s="30" t="n">
        <v>84.53</v>
      </c>
      <c r="Z302" s="30" t="s">
        <v>1006</v>
      </c>
      <c r="AA302" s="30" t="n">
        <v>84.53</v>
      </c>
      <c r="AB302" s="30" t="s">
        <v>1006</v>
      </c>
      <c r="AC302" s="30" t="n">
        <v>84.53</v>
      </c>
      <c r="AD302" s="30" t="s">
        <v>1006</v>
      </c>
      <c r="AE302" s="30" t="n">
        <v>24.54</v>
      </c>
      <c r="AF302" s="30" t="s">
        <v>1006</v>
      </c>
      <c r="AG302" s="30" t="n">
        <v>0</v>
      </c>
      <c r="AH302" s="30" t="s">
        <v>1006</v>
      </c>
      <c r="AI302" s="30" t="n">
        <v>0</v>
      </c>
      <c r="AJ302" s="30" t="s">
        <v>1006</v>
      </c>
      <c r="AK302" s="30" t="n">
        <v>0</v>
      </c>
      <c r="AL302" s="30" t="s">
        <v>1006</v>
      </c>
      <c r="AM302" s="30" t="n">
        <v>18.14</v>
      </c>
      <c r="AN302" s="30" t="s">
        <v>1006</v>
      </c>
      <c r="AO302" s="30" t="n">
        <v>90.72</v>
      </c>
      <c r="AP302" s="30" t="s">
        <v>1005</v>
      </c>
      <c r="AQ302" s="30" t="n">
        <v>31.23</v>
      </c>
      <c r="AR302" s="30" t="s">
        <v>1005</v>
      </c>
      <c r="AS302" s="30" t="n">
        <v>57.31</v>
      </c>
      <c r="AT302" s="30" t="s">
        <v>1005</v>
      </c>
      <c r="AU302" s="30" t="n">
        <v>560.06</v>
      </c>
      <c r="AV302" s="30" t="n">
        <v>0.36804</v>
      </c>
      <c r="AW302" s="30" t="s">
        <v>1016</v>
      </c>
      <c r="AX302" s="30" t="s">
        <v>1008</v>
      </c>
      <c r="AY302" s="30" t="n">
        <v>1</v>
      </c>
      <c r="AZ302" s="30"/>
    </row>
    <row collapsed="false" customFormat="true" customHeight="true" hidden="false" ht="33" outlineLevel="0" r="303" s="73">
      <c r="A303" s="30" t="n">
        <v>329</v>
      </c>
      <c r="B303" s="30" t="s">
        <v>487</v>
      </c>
      <c r="C303" s="30" t="s">
        <v>1009</v>
      </c>
      <c r="D303" s="30" t="s">
        <v>999</v>
      </c>
      <c r="E303" s="30" t="s">
        <v>1010</v>
      </c>
      <c r="F303" s="30" t="s">
        <v>1001</v>
      </c>
      <c r="G303" s="30" t="s">
        <v>1002</v>
      </c>
      <c r="H303" s="30" t="s">
        <v>1003</v>
      </c>
      <c r="I303" s="30" t="n">
        <v>1</v>
      </c>
      <c r="J303" s="30"/>
      <c r="K303" s="30" t="n">
        <v>65</v>
      </c>
      <c r="L303" s="30" t="n">
        <v>5.5</v>
      </c>
      <c r="M303" s="30" t="s">
        <v>1015</v>
      </c>
      <c r="N303" s="30" t="s">
        <v>53</v>
      </c>
      <c r="O303" s="30"/>
      <c r="P303" s="30"/>
      <c r="Q303" s="30"/>
      <c r="R303" s="30"/>
      <c r="S303" s="30"/>
      <c r="T303" s="30"/>
      <c r="U303" s="30" t="n">
        <v>479.22</v>
      </c>
      <c r="V303" s="30" t="n">
        <v>564.94</v>
      </c>
      <c r="W303" s="30" t="n">
        <v>78.06</v>
      </c>
      <c r="X303" s="30" t="s">
        <v>1006</v>
      </c>
      <c r="Y303" s="30" t="n">
        <v>78.06</v>
      </c>
      <c r="Z303" s="30" t="s">
        <v>1006</v>
      </c>
      <c r="AA303" s="30" t="n">
        <v>78.06</v>
      </c>
      <c r="AB303" s="30" t="s">
        <v>1006</v>
      </c>
      <c r="AC303" s="30" t="n">
        <v>42.48</v>
      </c>
      <c r="AD303" s="30" t="s">
        <v>1006</v>
      </c>
      <c r="AE303" s="30" t="n">
        <v>22.66</v>
      </c>
      <c r="AF303" s="30" t="s">
        <v>1006</v>
      </c>
      <c r="AG303" s="30" t="n">
        <v>0</v>
      </c>
      <c r="AH303" s="30" t="s">
        <v>1006</v>
      </c>
      <c r="AI303" s="30" t="n">
        <v>0</v>
      </c>
      <c r="AJ303" s="30" t="s">
        <v>1006</v>
      </c>
      <c r="AK303" s="30" t="n">
        <v>0</v>
      </c>
      <c r="AL303" s="30" t="s">
        <v>1006</v>
      </c>
      <c r="AM303" s="30" t="n">
        <v>6.05</v>
      </c>
      <c r="AN303" s="30" t="s">
        <v>1006</v>
      </c>
      <c r="AO303" s="30" t="n">
        <v>36.83</v>
      </c>
      <c r="AP303" s="30" t="s">
        <v>1005</v>
      </c>
      <c r="AQ303" s="30" t="n">
        <v>52.46</v>
      </c>
      <c r="AR303" s="30" t="s">
        <v>1005</v>
      </c>
      <c r="AS303" s="30" t="n">
        <v>61.82</v>
      </c>
      <c r="AT303" s="30" t="s">
        <v>1005</v>
      </c>
      <c r="AU303" s="30" t="n">
        <v>456.48</v>
      </c>
      <c r="AV303" s="30" t="n">
        <v>0.38808</v>
      </c>
      <c r="AW303" s="30" t="s">
        <v>1016</v>
      </c>
      <c r="AX303" s="30" t="s">
        <v>1008</v>
      </c>
      <c r="AY303" s="30" t="n">
        <v>1</v>
      </c>
      <c r="AZ303" s="30"/>
    </row>
    <row collapsed="false" customFormat="true" customHeight="true" hidden="false" ht="33" outlineLevel="0" r="304" s="73">
      <c r="A304" s="30" t="n">
        <v>330</v>
      </c>
      <c r="B304" s="30" t="s">
        <v>488</v>
      </c>
      <c r="C304" s="30" t="s">
        <v>1009</v>
      </c>
      <c r="D304" s="30" t="s">
        <v>999</v>
      </c>
      <c r="E304" s="30" t="s">
        <v>1010</v>
      </c>
      <c r="F304" s="30" t="s">
        <v>1001</v>
      </c>
      <c r="G304" s="30" t="s">
        <v>1002</v>
      </c>
      <c r="H304" s="30" t="s">
        <v>1003</v>
      </c>
      <c r="I304" s="30" t="n">
        <v>3</v>
      </c>
      <c r="J304" s="30"/>
      <c r="K304" s="30" t="n">
        <v>80</v>
      </c>
      <c r="L304" s="30" t="n">
        <v>5.5</v>
      </c>
      <c r="M304" s="30" t="s">
        <v>1015</v>
      </c>
      <c r="N304" s="30" t="s">
        <v>53</v>
      </c>
      <c r="O304" s="30"/>
      <c r="P304" s="30"/>
      <c r="Q304" s="30"/>
      <c r="R304" s="30"/>
      <c r="S304" s="30"/>
      <c r="T304" s="30"/>
      <c r="U304" s="30" t="n">
        <v>3002.71</v>
      </c>
      <c r="V304" s="30" t="n">
        <v>3616.93</v>
      </c>
      <c r="W304" s="30" t="n">
        <v>328.39</v>
      </c>
      <c r="X304" s="30" t="s">
        <v>1006</v>
      </c>
      <c r="Y304" s="30" t="n">
        <v>328.39</v>
      </c>
      <c r="Z304" s="30" t="s">
        <v>1006</v>
      </c>
      <c r="AA304" s="30" t="n">
        <v>328.39</v>
      </c>
      <c r="AB304" s="30" t="s">
        <v>1006</v>
      </c>
      <c r="AC304" s="30" t="n">
        <v>328.39</v>
      </c>
      <c r="AD304" s="30" t="s">
        <v>1006</v>
      </c>
      <c r="AE304" s="30" t="n">
        <v>95.34</v>
      </c>
      <c r="AF304" s="30" t="s">
        <v>1006</v>
      </c>
      <c r="AG304" s="30" t="n">
        <v>0</v>
      </c>
      <c r="AH304" s="30" t="s">
        <v>1006</v>
      </c>
      <c r="AI304" s="30" t="n">
        <v>0</v>
      </c>
      <c r="AJ304" s="30" t="s">
        <v>1006</v>
      </c>
      <c r="AK304" s="30" t="n">
        <v>0</v>
      </c>
      <c r="AL304" s="30" t="s">
        <v>1006</v>
      </c>
      <c r="AM304" s="30" t="n">
        <v>70.48</v>
      </c>
      <c r="AN304" s="30" t="s">
        <v>1006</v>
      </c>
      <c r="AO304" s="30" t="n">
        <v>233.83</v>
      </c>
      <c r="AP304" s="30" t="s">
        <v>1005</v>
      </c>
      <c r="AQ304" s="30" t="n">
        <v>195.02</v>
      </c>
      <c r="AR304" s="30" t="s">
        <v>1005</v>
      </c>
      <c r="AS304" s="30" t="n">
        <v>282.04</v>
      </c>
      <c r="AT304" s="30" t="s">
        <v>1005</v>
      </c>
      <c r="AU304" s="30" t="n">
        <v>2190.27</v>
      </c>
      <c r="AV304" s="30" t="n">
        <v>1.854061</v>
      </c>
      <c r="AW304" s="30" t="s">
        <v>1016</v>
      </c>
      <c r="AX304" s="30" t="s">
        <v>1008</v>
      </c>
      <c r="AY304" s="30" t="n">
        <v>3</v>
      </c>
      <c r="AZ304" s="30"/>
    </row>
    <row collapsed="false" customFormat="true" customHeight="true" hidden="false" ht="33" outlineLevel="0" r="305" s="73">
      <c r="A305" s="30" t="n">
        <v>332</v>
      </c>
      <c r="B305" s="30" t="s">
        <v>492</v>
      </c>
      <c r="C305" s="30" t="s">
        <v>1009</v>
      </c>
      <c r="D305" s="30" t="s">
        <v>999</v>
      </c>
      <c r="E305" s="30" t="s">
        <v>1000</v>
      </c>
      <c r="F305" s="30" t="s">
        <v>1014</v>
      </c>
      <c r="G305" s="30" t="s">
        <v>1002</v>
      </c>
      <c r="H305" s="30" t="s">
        <v>1003</v>
      </c>
      <c r="I305" s="30" t="n">
        <v>1</v>
      </c>
      <c r="J305" s="30"/>
      <c r="K305" s="30" t="n">
        <v>76</v>
      </c>
      <c r="L305" s="30" t="n">
        <v>10</v>
      </c>
      <c r="M305" s="30" t="s">
        <v>1004</v>
      </c>
      <c r="N305" s="30" t="s">
        <v>54</v>
      </c>
      <c r="O305" s="30"/>
      <c r="P305" s="30"/>
      <c r="Q305" s="30"/>
      <c r="R305" s="30"/>
      <c r="S305" s="30"/>
      <c r="T305" s="30"/>
      <c r="U305" s="30" t="n">
        <v>316.66</v>
      </c>
      <c r="V305" s="30" t="n">
        <v>335.08</v>
      </c>
      <c r="W305" s="30" t="n">
        <v>67.95</v>
      </c>
      <c r="X305" s="30" t="s">
        <v>1005</v>
      </c>
      <c r="Y305" s="30" t="n">
        <v>47.77</v>
      </c>
      <c r="Z305" s="30" t="s">
        <v>1005</v>
      </c>
      <c r="AA305" s="30" t="n">
        <v>59.12</v>
      </c>
      <c r="AB305" s="30" t="s">
        <v>1005</v>
      </c>
      <c r="AC305" s="30" t="n">
        <v>21.53</v>
      </c>
      <c r="AD305" s="30" t="s">
        <v>1005</v>
      </c>
      <c r="AE305" s="30" t="n">
        <v>11.99</v>
      </c>
      <c r="AF305" s="30" t="s">
        <v>1005</v>
      </c>
      <c r="AG305" s="30" t="n">
        <v>0</v>
      </c>
      <c r="AH305" s="30" t="s">
        <v>1006</v>
      </c>
      <c r="AI305" s="30" t="n">
        <v>0</v>
      </c>
      <c r="AJ305" s="30" t="s">
        <v>1006</v>
      </c>
      <c r="AK305" s="30" t="n">
        <v>0</v>
      </c>
      <c r="AL305" s="30" t="s">
        <v>1006</v>
      </c>
      <c r="AM305" s="30" t="n">
        <v>0</v>
      </c>
      <c r="AN305" s="30" t="s">
        <v>1005</v>
      </c>
      <c r="AO305" s="30" t="n">
        <v>27.13</v>
      </c>
      <c r="AP305" s="30" t="s">
        <v>1005</v>
      </c>
      <c r="AQ305" s="30" t="n">
        <v>30.66</v>
      </c>
      <c r="AR305" s="30" t="s">
        <v>1005</v>
      </c>
      <c r="AS305" s="30" t="n">
        <v>39.83</v>
      </c>
      <c r="AT305" s="30" t="s">
        <v>1005</v>
      </c>
      <c r="AU305" s="30" t="n">
        <v>305.98</v>
      </c>
      <c r="AV305" s="30" t="n">
        <v>0.13747</v>
      </c>
      <c r="AW305" s="30" t="s">
        <v>1007</v>
      </c>
      <c r="AX305" s="30" t="s">
        <v>1008</v>
      </c>
      <c r="AY305" s="30" t="n">
        <v>1</v>
      </c>
      <c r="AZ305" s="30"/>
    </row>
    <row collapsed="false" customFormat="true" customHeight="true" hidden="false" ht="33" outlineLevel="0" r="306" s="73">
      <c r="A306" s="30" t="n">
        <v>333</v>
      </c>
      <c r="B306" s="30" t="s">
        <v>493</v>
      </c>
      <c r="C306" s="30" t="s">
        <v>1009</v>
      </c>
      <c r="D306" s="30" t="s">
        <v>999</v>
      </c>
      <c r="E306" s="30" t="s">
        <v>1000</v>
      </c>
      <c r="F306" s="30" t="s">
        <v>1014</v>
      </c>
      <c r="G306" s="30" t="s">
        <v>1002</v>
      </c>
      <c r="H306" s="30" t="s">
        <v>1003</v>
      </c>
      <c r="I306" s="30" t="n">
        <v>2</v>
      </c>
      <c r="J306" s="30"/>
      <c r="K306" s="30" t="n">
        <v>80</v>
      </c>
      <c r="L306" s="30" t="n">
        <v>10</v>
      </c>
      <c r="M306" s="30" t="s">
        <v>1004</v>
      </c>
      <c r="N306" s="30" t="s">
        <v>53</v>
      </c>
      <c r="O306" s="30"/>
      <c r="P306" s="30"/>
      <c r="Q306" s="30"/>
      <c r="R306" s="30"/>
      <c r="S306" s="30"/>
      <c r="T306" s="30"/>
      <c r="U306" s="30" t="n">
        <v>2067.68</v>
      </c>
      <c r="V306" s="30" t="n">
        <v>1427.14</v>
      </c>
      <c r="W306" s="30" t="n">
        <v>159.77</v>
      </c>
      <c r="X306" s="30" t="s">
        <v>1005</v>
      </c>
      <c r="Y306" s="30" t="n">
        <v>169.48</v>
      </c>
      <c r="Z306" s="30" t="s">
        <v>1005</v>
      </c>
      <c r="AA306" s="30" t="n">
        <v>177.17</v>
      </c>
      <c r="AB306" s="30" t="s">
        <v>1005</v>
      </c>
      <c r="AC306" s="30" t="n">
        <v>43.26</v>
      </c>
      <c r="AD306" s="30" t="s">
        <v>1005</v>
      </c>
      <c r="AE306" s="30" t="n">
        <v>26.12</v>
      </c>
      <c r="AF306" s="30" t="s">
        <v>1005</v>
      </c>
      <c r="AG306" s="30" t="n">
        <v>0</v>
      </c>
      <c r="AH306" s="30" t="s">
        <v>1006</v>
      </c>
      <c r="AI306" s="30" t="n">
        <v>0</v>
      </c>
      <c r="AJ306" s="30" t="s">
        <v>1006</v>
      </c>
      <c r="AK306" s="30" t="n">
        <v>0</v>
      </c>
      <c r="AL306" s="30" t="s">
        <v>1006</v>
      </c>
      <c r="AM306" s="30" t="n">
        <v>0</v>
      </c>
      <c r="AN306" s="30" t="s">
        <v>1005</v>
      </c>
      <c r="AO306" s="30" t="n">
        <v>127.99</v>
      </c>
      <c r="AP306" s="30" t="s">
        <v>1005</v>
      </c>
      <c r="AQ306" s="30" t="n">
        <v>123.9</v>
      </c>
      <c r="AR306" s="30" t="s">
        <v>1005</v>
      </c>
      <c r="AS306" s="30" t="n">
        <v>196.06</v>
      </c>
      <c r="AT306" s="30" t="s">
        <v>1005</v>
      </c>
      <c r="AU306" s="30" t="n">
        <v>1023.75</v>
      </c>
      <c r="AV306" s="30" t="n">
        <v>2.04167</v>
      </c>
      <c r="AW306" s="30" t="s">
        <v>1007</v>
      </c>
      <c r="AX306" s="30" t="s">
        <v>1008</v>
      </c>
      <c r="AY306" s="30" t="n">
        <v>2</v>
      </c>
      <c r="AZ306" s="30"/>
    </row>
    <row collapsed="false" customFormat="true" customHeight="true" hidden="false" ht="33" outlineLevel="0" r="307" s="73">
      <c r="A307" s="30" t="n">
        <v>334</v>
      </c>
      <c r="B307" s="30" t="s">
        <v>495</v>
      </c>
      <c r="C307" s="30" t="s">
        <v>1009</v>
      </c>
      <c r="D307" s="30" t="s">
        <v>999</v>
      </c>
      <c r="E307" s="30" t="s">
        <v>1000</v>
      </c>
      <c r="F307" s="30" t="s">
        <v>1014</v>
      </c>
      <c r="G307" s="30" t="s">
        <v>1002</v>
      </c>
      <c r="H307" s="30" t="s">
        <v>1003</v>
      </c>
      <c r="I307" s="30" t="n">
        <v>1</v>
      </c>
      <c r="J307" s="30"/>
      <c r="K307" s="30" t="n">
        <v>57</v>
      </c>
      <c r="L307" s="30" t="n">
        <v>10</v>
      </c>
      <c r="M307" s="30" t="s">
        <v>1004</v>
      </c>
      <c r="N307" s="30" t="s">
        <v>54</v>
      </c>
      <c r="O307" s="30"/>
      <c r="P307" s="30"/>
      <c r="Q307" s="30"/>
      <c r="R307" s="30"/>
      <c r="S307" s="30"/>
      <c r="T307" s="30"/>
      <c r="U307" s="30" t="n">
        <v>182.45</v>
      </c>
      <c r="V307" s="30" t="n">
        <v>185.61</v>
      </c>
      <c r="W307" s="30" t="n">
        <v>27.19</v>
      </c>
      <c r="X307" s="30" t="s">
        <v>1005</v>
      </c>
      <c r="Y307" s="30" t="n">
        <v>26.5</v>
      </c>
      <c r="Z307" s="30" t="s">
        <v>1005</v>
      </c>
      <c r="AA307" s="30" t="n">
        <v>33.84</v>
      </c>
      <c r="AB307" s="30" t="s">
        <v>1005</v>
      </c>
      <c r="AC307" s="30" t="n">
        <v>11.37</v>
      </c>
      <c r="AD307" s="30" t="s">
        <v>1005</v>
      </c>
      <c r="AE307" s="30" t="n">
        <v>6.67</v>
      </c>
      <c r="AF307" s="30" t="s">
        <v>1005</v>
      </c>
      <c r="AG307" s="30" t="n">
        <v>0</v>
      </c>
      <c r="AH307" s="30" t="s">
        <v>1006</v>
      </c>
      <c r="AI307" s="30" t="n">
        <v>0</v>
      </c>
      <c r="AJ307" s="30" t="s">
        <v>1006</v>
      </c>
      <c r="AK307" s="30" t="n">
        <v>0</v>
      </c>
      <c r="AL307" s="30" t="s">
        <v>1006</v>
      </c>
      <c r="AM307" s="30" t="n">
        <v>0</v>
      </c>
      <c r="AN307" s="30" t="s">
        <v>1005</v>
      </c>
      <c r="AO307" s="30" t="n">
        <v>14.23</v>
      </c>
      <c r="AP307" s="30" t="s">
        <v>1005</v>
      </c>
      <c r="AQ307" s="30" t="n">
        <v>15.79</v>
      </c>
      <c r="AR307" s="30" t="s">
        <v>1005</v>
      </c>
      <c r="AS307" s="30" t="n">
        <v>21.58</v>
      </c>
      <c r="AT307" s="30" t="s">
        <v>1005</v>
      </c>
      <c r="AU307" s="30" t="n">
        <v>157.17</v>
      </c>
      <c r="AV307" s="30" t="n">
        <v>0.0883</v>
      </c>
      <c r="AW307" s="30" t="s">
        <v>1007</v>
      </c>
      <c r="AX307" s="30" t="s">
        <v>1008</v>
      </c>
      <c r="AY307" s="30" t="n">
        <v>1</v>
      </c>
      <c r="AZ307" s="30"/>
    </row>
    <row collapsed="false" customFormat="true" customHeight="true" hidden="false" ht="33" outlineLevel="0" r="308" s="73">
      <c r="A308" s="30" t="n">
        <v>335</v>
      </c>
      <c r="B308" s="30" t="s">
        <v>496</v>
      </c>
      <c r="C308" s="30" t="s">
        <v>1009</v>
      </c>
      <c r="D308" s="30" t="s">
        <v>999</v>
      </c>
      <c r="E308" s="30" t="s">
        <v>1000</v>
      </c>
      <c r="F308" s="30" t="s">
        <v>1014</v>
      </c>
      <c r="G308" s="30" t="s">
        <v>1002</v>
      </c>
      <c r="H308" s="30" t="s">
        <v>1003</v>
      </c>
      <c r="I308" s="30" t="n">
        <v>1</v>
      </c>
      <c r="J308" s="30"/>
      <c r="K308" s="30" t="n">
        <v>80</v>
      </c>
      <c r="L308" s="30" t="n">
        <v>10</v>
      </c>
      <c r="M308" s="30" t="s">
        <v>1004</v>
      </c>
      <c r="N308" s="30" t="s">
        <v>53</v>
      </c>
      <c r="O308" s="30"/>
      <c r="P308" s="30"/>
      <c r="Q308" s="30"/>
      <c r="R308" s="30"/>
      <c r="S308" s="30"/>
      <c r="T308" s="30"/>
      <c r="U308" s="30" t="n">
        <v>892.49</v>
      </c>
      <c r="V308" s="30" t="n">
        <v>664.74</v>
      </c>
      <c r="W308" s="30" t="n">
        <v>150.13</v>
      </c>
      <c r="X308" s="30" t="s">
        <v>1005</v>
      </c>
      <c r="Y308" s="30" t="n">
        <v>101.28</v>
      </c>
      <c r="Z308" s="30" t="s">
        <v>1005</v>
      </c>
      <c r="AA308" s="30" t="n">
        <v>130.21</v>
      </c>
      <c r="AB308" s="30" t="s">
        <v>1005</v>
      </c>
      <c r="AC308" s="30" t="n">
        <v>47.52</v>
      </c>
      <c r="AD308" s="30" t="s">
        <v>1005</v>
      </c>
      <c r="AE308" s="30" t="n">
        <v>26.4</v>
      </c>
      <c r="AF308" s="30" t="s">
        <v>1005</v>
      </c>
      <c r="AG308" s="30" t="n">
        <v>0</v>
      </c>
      <c r="AH308" s="30" t="s">
        <v>1006</v>
      </c>
      <c r="AI308" s="30" t="n">
        <v>0</v>
      </c>
      <c r="AJ308" s="30" t="s">
        <v>1006</v>
      </c>
      <c r="AK308" s="30" t="n">
        <v>0</v>
      </c>
      <c r="AL308" s="30" t="s">
        <v>1006</v>
      </c>
      <c r="AM308" s="30" t="n">
        <v>0</v>
      </c>
      <c r="AN308" s="30" t="s">
        <v>1005</v>
      </c>
      <c r="AO308" s="30" t="n">
        <v>64.05</v>
      </c>
      <c r="AP308" s="30" t="s">
        <v>1005</v>
      </c>
      <c r="AQ308" s="30" t="n">
        <v>73.1</v>
      </c>
      <c r="AR308" s="30" t="s">
        <v>1005</v>
      </c>
      <c r="AS308" s="30" t="n">
        <v>97.7</v>
      </c>
      <c r="AT308" s="30" t="s">
        <v>1005</v>
      </c>
      <c r="AU308" s="30" t="n">
        <v>690.39</v>
      </c>
      <c r="AV308" s="30" t="n">
        <v>0.70644</v>
      </c>
      <c r="AW308" s="30" t="s">
        <v>1007</v>
      </c>
      <c r="AX308" s="30" t="s">
        <v>1008</v>
      </c>
      <c r="AY308" s="30" t="n">
        <v>1</v>
      </c>
      <c r="AZ308" s="30"/>
    </row>
    <row collapsed="false" customFormat="true" customHeight="true" hidden="false" ht="33" outlineLevel="0" r="309" s="73">
      <c r="A309" s="30" t="n">
        <v>336</v>
      </c>
      <c r="B309" s="30" t="s">
        <v>497</v>
      </c>
      <c r="C309" s="30" t="s">
        <v>1009</v>
      </c>
      <c r="D309" s="30" t="s">
        <v>999</v>
      </c>
      <c r="E309" s="30" t="s">
        <v>1000</v>
      </c>
      <c r="F309" s="30" t="s">
        <v>1014</v>
      </c>
      <c r="G309" s="30" t="s">
        <v>1002</v>
      </c>
      <c r="H309" s="30" t="s">
        <v>1003</v>
      </c>
      <c r="I309" s="30" t="n">
        <v>1</v>
      </c>
      <c r="J309" s="30"/>
      <c r="K309" s="30" t="n">
        <v>80</v>
      </c>
      <c r="L309" s="30" t="n">
        <v>10</v>
      </c>
      <c r="M309" s="30" t="s">
        <v>1004</v>
      </c>
      <c r="N309" s="30" t="s">
        <v>53</v>
      </c>
      <c r="O309" s="30"/>
      <c r="P309" s="30"/>
      <c r="Q309" s="30"/>
      <c r="R309" s="30"/>
      <c r="S309" s="30"/>
      <c r="T309" s="30"/>
      <c r="U309" s="30" t="n">
        <v>731.05</v>
      </c>
      <c r="V309" s="30" t="n">
        <v>708.08</v>
      </c>
      <c r="W309" s="30" t="n">
        <v>129.72</v>
      </c>
      <c r="X309" s="30" t="s">
        <v>1005</v>
      </c>
      <c r="Y309" s="30" t="n">
        <v>91.98</v>
      </c>
      <c r="Z309" s="30" t="s">
        <v>1005</v>
      </c>
      <c r="AA309" s="30" t="n">
        <v>110.82</v>
      </c>
      <c r="AB309" s="30" t="s">
        <v>1005</v>
      </c>
      <c r="AC309" s="30" t="n">
        <v>38.18</v>
      </c>
      <c r="AD309" s="30" t="s">
        <v>1005</v>
      </c>
      <c r="AE309" s="30" t="n">
        <v>22.66</v>
      </c>
      <c r="AF309" s="30" t="s">
        <v>1005</v>
      </c>
      <c r="AG309" s="30" t="n">
        <v>0</v>
      </c>
      <c r="AH309" s="30" t="s">
        <v>1006</v>
      </c>
      <c r="AI309" s="30" t="n">
        <v>0</v>
      </c>
      <c r="AJ309" s="30" t="s">
        <v>1006</v>
      </c>
      <c r="AK309" s="30" t="n">
        <v>0</v>
      </c>
      <c r="AL309" s="30" t="s">
        <v>1006</v>
      </c>
      <c r="AM309" s="30" t="n">
        <v>0</v>
      </c>
      <c r="AN309" s="30" t="s">
        <v>1005</v>
      </c>
      <c r="AO309" s="30" t="n">
        <v>47.53</v>
      </c>
      <c r="AP309" s="30" t="s">
        <v>1005</v>
      </c>
      <c r="AQ309" s="30" t="n">
        <v>53.41</v>
      </c>
      <c r="AR309" s="30" t="s">
        <v>1005</v>
      </c>
      <c r="AS309" s="30" t="n">
        <v>77.64</v>
      </c>
      <c r="AT309" s="30" t="s">
        <v>1005</v>
      </c>
      <c r="AU309" s="30" t="n">
        <v>571.94</v>
      </c>
      <c r="AV309" s="30" t="n">
        <v>0.69841</v>
      </c>
      <c r="AW309" s="30" t="s">
        <v>1007</v>
      </c>
      <c r="AX309" s="30" t="s">
        <v>1008</v>
      </c>
      <c r="AY309" s="30" t="n">
        <v>1</v>
      </c>
      <c r="AZ309" s="30"/>
    </row>
    <row collapsed="false" customFormat="true" customHeight="true" hidden="false" ht="33" outlineLevel="0" r="310" s="73">
      <c r="A310" s="30" t="n">
        <v>337</v>
      </c>
      <c r="B310" s="30" t="s">
        <v>498</v>
      </c>
      <c r="C310" s="30" t="s">
        <v>1009</v>
      </c>
      <c r="D310" s="30" t="s">
        <v>999</v>
      </c>
      <c r="E310" s="30" t="s">
        <v>1000</v>
      </c>
      <c r="F310" s="30" t="s">
        <v>1014</v>
      </c>
      <c r="G310" s="30" t="s">
        <v>1002</v>
      </c>
      <c r="H310" s="30" t="s">
        <v>1003</v>
      </c>
      <c r="I310" s="30" t="n">
        <v>1</v>
      </c>
      <c r="J310" s="30"/>
      <c r="K310" s="30" t="n">
        <v>57</v>
      </c>
      <c r="L310" s="30" t="n">
        <v>10</v>
      </c>
      <c r="M310" s="30" t="s">
        <v>1004</v>
      </c>
      <c r="N310" s="30" t="s">
        <v>54</v>
      </c>
      <c r="O310" s="30"/>
      <c r="P310" s="30"/>
      <c r="Q310" s="30"/>
      <c r="R310" s="30"/>
      <c r="S310" s="30"/>
      <c r="T310" s="30"/>
      <c r="U310" s="30" t="n">
        <v>189.73</v>
      </c>
      <c r="V310" s="30" t="n">
        <v>206.52</v>
      </c>
      <c r="W310" s="30" t="n">
        <v>38.85</v>
      </c>
      <c r="X310" s="30" t="s">
        <v>1005</v>
      </c>
      <c r="Y310" s="30" t="n">
        <v>26.69</v>
      </c>
      <c r="Z310" s="30" t="s">
        <v>1005</v>
      </c>
      <c r="AA310" s="30" t="n">
        <v>34.15</v>
      </c>
      <c r="AB310" s="30" t="s">
        <v>1005</v>
      </c>
      <c r="AC310" s="30" t="n">
        <v>12.09</v>
      </c>
      <c r="AD310" s="30" t="s">
        <v>1005</v>
      </c>
      <c r="AE310" s="30" t="n">
        <v>7.11</v>
      </c>
      <c r="AF310" s="30" t="s">
        <v>1005</v>
      </c>
      <c r="AG310" s="30" t="n">
        <v>0</v>
      </c>
      <c r="AH310" s="30" t="s">
        <v>1006</v>
      </c>
      <c r="AI310" s="30" t="n">
        <v>0</v>
      </c>
      <c r="AJ310" s="30" t="s">
        <v>1006</v>
      </c>
      <c r="AK310" s="30" t="n">
        <v>0</v>
      </c>
      <c r="AL310" s="30" t="s">
        <v>1006</v>
      </c>
      <c r="AM310" s="30" t="n">
        <v>0</v>
      </c>
      <c r="AN310" s="30" t="s">
        <v>1005</v>
      </c>
      <c r="AO310" s="30" t="n">
        <v>22.06</v>
      </c>
      <c r="AP310" s="30" t="s">
        <v>1005</v>
      </c>
      <c r="AQ310" s="30" t="n">
        <v>13.46</v>
      </c>
      <c r="AR310" s="30" t="s">
        <v>1005</v>
      </c>
      <c r="AS310" s="30" t="n">
        <v>22.17</v>
      </c>
      <c r="AT310" s="30" t="s">
        <v>1005</v>
      </c>
      <c r="AU310" s="30" t="n">
        <v>176.58</v>
      </c>
      <c r="AV310" s="30" t="n">
        <v>0.893</v>
      </c>
      <c r="AW310" s="30" t="s">
        <v>1007</v>
      </c>
      <c r="AX310" s="30" t="s">
        <v>1008</v>
      </c>
      <c r="AY310" s="30" t="n">
        <v>1</v>
      </c>
      <c r="AZ310" s="30"/>
    </row>
    <row collapsed="false" customFormat="true" customHeight="true" hidden="false" ht="33" outlineLevel="0" r="311" s="73">
      <c r="A311" s="30" t="n">
        <v>338</v>
      </c>
      <c r="B311" s="30" t="s">
        <v>501</v>
      </c>
      <c r="C311" s="30" t="s">
        <v>1009</v>
      </c>
      <c r="D311" s="30" t="s">
        <v>999</v>
      </c>
      <c r="E311" s="30" t="s">
        <v>1010</v>
      </c>
      <c r="F311" s="30" t="s">
        <v>1011</v>
      </c>
      <c r="G311" s="30" t="s">
        <v>1002</v>
      </c>
      <c r="H311" s="30" t="s">
        <v>1003</v>
      </c>
      <c r="I311" s="30" t="n">
        <v>0</v>
      </c>
      <c r="J311" s="30"/>
      <c r="K311" s="30" t="n">
        <v>57</v>
      </c>
      <c r="L311" s="30"/>
      <c r="M311" s="30" t="s">
        <v>1015</v>
      </c>
      <c r="N311" s="30" t="s">
        <v>54</v>
      </c>
      <c r="O311" s="30"/>
      <c r="P311" s="30"/>
      <c r="Q311" s="30"/>
      <c r="R311" s="30"/>
      <c r="S311" s="30"/>
      <c r="T311" s="30"/>
      <c r="U311" s="30" t="n">
        <v>108.76</v>
      </c>
      <c r="V311" s="30" t="n">
        <v>103.2</v>
      </c>
      <c r="W311" s="30" t="n">
        <v>13.71</v>
      </c>
      <c r="X311" s="30" t="s">
        <v>1005</v>
      </c>
      <c r="Y311" s="30" t="n">
        <v>13.71</v>
      </c>
      <c r="Z311" s="30" t="s">
        <v>1006</v>
      </c>
      <c r="AA311" s="30" t="n">
        <v>13.71</v>
      </c>
      <c r="AB311" s="30" t="s">
        <v>1006</v>
      </c>
      <c r="AC311" s="30" t="n">
        <v>13.71</v>
      </c>
      <c r="AD311" s="30" t="s">
        <v>1006</v>
      </c>
      <c r="AE311" s="30" t="n">
        <v>3.98</v>
      </c>
      <c r="AF311" s="30" t="s">
        <v>1006</v>
      </c>
      <c r="AG311" s="30" t="n">
        <v>0</v>
      </c>
      <c r="AH311" s="30" t="s">
        <v>1006</v>
      </c>
      <c r="AI311" s="30" t="n">
        <v>0</v>
      </c>
      <c r="AJ311" s="30" t="s">
        <v>1006</v>
      </c>
      <c r="AK311" s="30" t="n">
        <v>0</v>
      </c>
      <c r="AL311" s="30" t="s">
        <v>1006</v>
      </c>
      <c r="AM311" s="30" t="n">
        <v>0</v>
      </c>
      <c r="AN311" s="30" t="s">
        <v>1006</v>
      </c>
      <c r="AO311" s="30" t="n">
        <v>13.67</v>
      </c>
      <c r="AP311" s="30" t="s">
        <v>1006</v>
      </c>
      <c r="AQ311" s="30" t="n">
        <v>13.62</v>
      </c>
      <c r="AR311" s="30" t="s">
        <v>1006</v>
      </c>
      <c r="AS311" s="30" t="n">
        <v>13.67</v>
      </c>
      <c r="AT311" s="30" t="s">
        <v>1006</v>
      </c>
      <c r="AU311" s="30" t="n">
        <v>99.78</v>
      </c>
      <c r="AV311" s="30" t="n">
        <v>0.073</v>
      </c>
      <c r="AW311" s="30" t="s">
        <v>1016</v>
      </c>
      <c r="AX311" s="30" t="s">
        <v>1008</v>
      </c>
      <c r="AY311" s="30"/>
      <c r="AZ311" s="30"/>
    </row>
    <row collapsed="false" customFormat="true" customHeight="true" hidden="false" ht="33" outlineLevel="0" r="312" s="73">
      <c r="A312" s="30" t="n">
        <v>339</v>
      </c>
      <c r="B312" s="30" t="s">
        <v>503</v>
      </c>
      <c r="C312" s="30" t="s">
        <v>1009</v>
      </c>
      <c r="D312" s="30" t="s">
        <v>999</v>
      </c>
      <c r="E312" s="30" t="s">
        <v>1010</v>
      </c>
      <c r="F312" s="30" t="s">
        <v>1011</v>
      </c>
      <c r="G312" s="30" t="s">
        <v>1002</v>
      </c>
      <c r="H312" s="30" t="s">
        <v>1003</v>
      </c>
      <c r="I312" s="30" t="n">
        <v>0</v>
      </c>
      <c r="J312" s="30"/>
      <c r="K312" s="30" t="n">
        <v>57</v>
      </c>
      <c r="L312" s="30"/>
      <c r="M312" s="30" t="s">
        <v>1015</v>
      </c>
      <c r="N312" s="30" t="s">
        <v>54</v>
      </c>
      <c r="O312" s="30"/>
      <c r="P312" s="30"/>
      <c r="Q312" s="30"/>
      <c r="R312" s="30"/>
      <c r="S312" s="30"/>
      <c r="T312" s="30"/>
      <c r="U312" s="30" t="n">
        <v>128.18</v>
      </c>
      <c r="V312" s="30" t="n">
        <v>121.92</v>
      </c>
      <c r="W312" s="30" t="n">
        <v>17.1</v>
      </c>
      <c r="X312" s="30" t="s">
        <v>1006</v>
      </c>
      <c r="Y312" s="30" t="n">
        <v>16.58</v>
      </c>
      <c r="Z312" s="30" t="s">
        <v>1006</v>
      </c>
      <c r="AA312" s="30" t="n">
        <v>16.58</v>
      </c>
      <c r="AB312" s="30" t="s">
        <v>1006</v>
      </c>
      <c r="AC312" s="30" t="n">
        <v>16.58</v>
      </c>
      <c r="AD312" s="30" t="s">
        <v>1006</v>
      </c>
      <c r="AE312" s="30" t="n">
        <v>4.82</v>
      </c>
      <c r="AF312" s="30" t="s">
        <v>1006</v>
      </c>
      <c r="AG312" s="30" t="n">
        <v>0</v>
      </c>
      <c r="AH312" s="30" t="s">
        <v>1006</v>
      </c>
      <c r="AI312" s="30" t="n">
        <v>0</v>
      </c>
      <c r="AJ312" s="30" t="s">
        <v>1006</v>
      </c>
      <c r="AK312" s="30" t="n">
        <v>0</v>
      </c>
      <c r="AL312" s="30" t="s">
        <v>1006</v>
      </c>
      <c r="AM312" s="30" t="n">
        <v>0</v>
      </c>
      <c r="AN312" s="30" t="s">
        <v>1006</v>
      </c>
      <c r="AO312" s="30" t="n">
        <v>16.29</v>
      </c>
      <c r="AP312" s="30" t="s">
        <v>1006</v>
      </c>
      <c r="AQ312" s="30" t="n">
        <v>16.29</v>
      </c>
      <c r="AR312" s="30" t="s">
        <v>1006</v>
      </c>
      <c r="AS312" s="30" t="n">
        <v>16.24</v>
      </c>
      <c r="AT312" s="30" t="s">
        <v>1006</v>
      </c>
      <c r="AU312" s="30" t="n">
        <v>120.48</v>
      </c>
      <c r="AV312" s="30" t="n">
        <v>0.086</v>
      </c>
      <c r="AW312" s="30" t="s">
        <v>1016</v>
      </c>
      <c r="AX312" s="30" t="s">
        <v>1008</v>
      </c>
      <c r="AY312" s="30"/>
      <c r="AZ312" s="30"/>
    </row>
    <row collapsed="false" customFormat="true" customHeight="true" hidden="false" ht="33" outlineLevel="0" r="313" s="73">
      <c r="A313" s="30" t="n">
        <v>340</v>
      </c>
      <c r="B313" s="30" t="s">
        <v>504</v>
      </c>
      <c r="C313" s="30" t="s">
        <v>1009</v>
      </c>
      <c r="D313" s="30" t="s">
        <v>999</v>
      </c>
      <c r="E313" s="30" t="s">
        <v>1010</v>
      </c>
      <c r="F313" s="30" t="s">
        <v>1011</v>
      </c>
      <c r="G313" s="30" t="s">
        <v>1002</v>
      </c>
      <c r="H313" s="30" t="s">
        <v>1003</v>
      </c>
      <c r="I313" s="30" t="n">
        <v>0</v>
      </c>
      <c r="J313" s="30"/>
      <c r="K313" s="30" t="n">
        <v>57</v>
      </c>
      <c r="L313" s="30"/>
      <c r="M313" s="30" t="s">
        <v>1015</v>
      </c>
      <c r="N313" s="30" t="s">
        <v>54</v>
      </c>
      <c r="O313" s="30"/>
      <c r="P313" s="30"/>
      <c r="Q313" s="30"/>
      <c r="R313" s="30"/>
      <c r="S313" s="30"/>
      <c r="T313" s="30"/>
      <c r="U313" s="30"/>
      <c r="V313" s="30"/>
      <c r="W313" s="30" t="n">
        <v>16.7</v>
      </c>
      <c r="X313" s="30" t="s">
        <v>1006</v>
      </c>
      <c r="Y313" s="30" t="n">
        <v>16.7</v>
      </c>
      <c r="Z313" s="30" t="s">
        <v>1006</v>
      </c>
      <c r="AA313" s="30" t="n">
        <v>16.7</v>
      </c>
      <c r="AB313" s="30" t="s">
        <v>1006</v>
      </c>
      <c r="AC313" s="30" t="n">
        <v>16.7</v>
      </c>
      <c r="AD313" s="30" t="s">
        <v>1006</v>
      </c>
      <c r="AE313" s="30" t="n">
        <v>4.85</v>
      </c>
      <c r="AF313" s="30" t="s">
        <v>1006</v>
      </c>
      <c r="AG313" s="30" t="n">
        <v>0</v>
      </c>
      <c r="AH313" s="30" t="s">
        <v>1006</v>
      </c>
      <c r="AI313" s="30" t="n">
        <v>0</v>
      </c>
      <c r="AJ313" s="30" t="s">
        <v>1006</v>
      </c>
      <c r="AK313" s="30" t="n">
        <v>0</v>
      </c>
      <c r="AL313" s="30" t="s">
        <v>1006</v>
      </c>
      <c r="AM313" s="30" t="n">
        <v>0</v>
      </c>
      <c r="AN313" s="30" t="s">
        <v>1006</v>
      </c>
      <c r="AO313" s="30" t="n">
        <v>16.42</v>
      </c>
      <c r="AP313" s="30" t="s">
        <v>1006</v>
      </c>
      <c r="AQ313" s="30" t="n">
        <v>16.42</v>
      </c>
      <c r="AR313" s="30" t="s">
        <v>1006</v>
      </c>
      <c r="AS313" s="30" t="n">
        <v>16.42</v>
      </c>
      <c r="AT313" s="30" t="s">
        <v>1006</v>
      </c>
      <c r="AU313" s="30" t="n">
        <v>120.91</v>
      </c>
      <c r="AV313" s="30" t="n">
        <v>0.0789</v>
      </c>
      <c r="AW313" s="30" t="s">
        <v>1016</v>
      </c>
      <c r="AX313" s="30" t="s">
        <v>1008</v>
      </c>
      <c r="AY313" s="30" t="n">
        <v>1</v>
      </c>
      <c r="AZ313" s="30"/>
    </row>
    <row collapsed="false" customFormat="true" customHeight="true" hidden="false" ht="33" outlineLevel="0" r="314" s="73">
      <c r="A314" s="30" t="n">
        <v>341</v>
      </c>
      <c r="B314" s="30" t="s">
        <v>507</v>
      </c>
      <c r="C314" s="30" t="s">
        <v>1009</v>
      </c>
      <c r="D314" s="30" t="s">
        <v>999</v>
      </c>
      <c r="E314" s="30" t="s">
        <v>1010</v>
      </c>
      <c r="F314" s="30" t="s">
        <v>1001</v>
      </c>
      <c r="G314" s="30" t="s">
        <v>1002</v>
      </c>
      <c r="H314" s="30" t="s">
        <v>1003</v>
      </c>
      <c r="I314" s="30" t="n">
        <v>0</v>
      </c>
      <c r="J314" s="30"/>
      <c r="K314" s="30" t="n">
        <v>65</v>
      </c>
      <c r="L314" s="30" t="n">
        <v>5.5</v>
      </c>
      <c r="M314" s="30" t="s">
        <v>1004</v>
      </c>
      <c r="N314" s="30" t="s">
        <v>54</v>
      </c>
      <c r="O314" s="30"/>
      <c r="P314" s="30"/>
      <c r="Q314" s="30"/>
      <c r="R314" s="30"/>
      <c r="S314" s="30"/>
      <c r="T314" s="30"/>
      <c r="U314" s="30"/>
      <c r="V314" s="30"/>
      <c r="W314" s="30" t="n">
        <v>33.99</v>
      </c>
      <c r="X314" s="30" t="s">
        <v>1006</v>
      </c>
      <c r="Y314" s="30" t="n">
        <v>33.99</v>
      </c>
      <c r="Z314" s="30" t="s">
        <v>1006</v>
      </c>
      <c r="AA314" s="30" t="n">
        <v>33.99</v>
      </c>
      <c r="AB314" s="30" t="s">
        <v>1006</v>
      </c>
      <c r="AC314" s="30" t="n">
        <v>33.99</v>
      </c>
      <c r="AD314" s="30" t="s">
        <v>1006</v>
      </c>
      <c r="AE314" s="30" t="n">
        <v>9.87</v>
      </c>
      <c r="AF314" s="30" t="s">
        <v>1006</v>
      </c>
      <c r="AG314" s="30" t="n">
        <v>0</v>
      </c>
      <c r="AH314" s="30" t="s">
        <v>1006</v>
      </c>
      <c r="AI314" s="30" t="n">
        <v>0</v>
      </c>
      <c r="AJ314" s="30" t="s">
        <v>1006</v>
      </c>
      <c r="AK314" s="30" t="n">
        <v>0</v>
      </c>
      <c r="AL314" s="30" t="s">
        <v>1006</v>
      </c>
      <c r="AM314" s="30" t="n">
        <v>6.19</v>
      </c>
      <c r="AN314" s="30" t="s">
        <v>1006</v>
      </c>
      <c r="AO314" s="30" t="n">
        <v>37.12</v>
      </c>
      <c r="AP314" s="30" t="s">
        <v>1006</v>
      </c>
      <c r="AQ314" s="30" t="n">
        <v>37.12</v>
      </c>
      <c r="AR314" s="30" t="s">
        <v>1006</v>
      </c>
      <c r="AS314" s="30" t="n">
        <v>37.12</v>
      </c>
      <c r="AT314" s="30" t="s">
        <v>1006</v>
      </c>
      <c r="AU314" s="30" t="n">
        <v>263.38</v>
      </c>
      <c r="AV314" s="30" t="n">
        <v>0.26196</v>
      </c>
      <c r="AW314" s="30" t="s">
        <v>1007</v>
      </c>
      <c r="AX314" s="30" t="s">
        <v>1008</v>
      </c>
      <c r="AY314" s="30" t="n">
        <v>0</v>
      </c>
      <c r="AZ314" s="30"/>
    </row>
    <row collapsed="false" customFormat="true" customHeight="true" hidden="false" ht="33" outlineLevel="0" r="315" s="73">
      <c r="A315" s="30" t="n">
        <v>342</v>
      </c>
      <c r="B315" s="30" t="s">
        <v>508</v>
      </c>
      <c r="C315" s="30" t="s">
        <v>1009</v>
      </c>
      <c r="D315" s="30" t="s">
        <v>999</v>
      </c>
      <c r="E315" s="30" t="s">
        <v>1010</v>
      </c>
      <c r="F315" s="30" t="s">
        <v>1001</v>
      </c>
      <c r="G315" s="30" t="s">
        <v>1002</v>
      </c>
      <c r="H315" s="30" t="s">
        <v>1003</v>
      </c>
      <c r="I315" s="30" t="n">
        <v>1</v>
      </c>
      <c r="J315" s="30"/>
      <c r="K315" s="30" t="n">
        <v>65</v>
      </c>
      <c r="L315" s="30" t="n">
        <v>5.5</v>
      </c>
      <c r="M315" s="30" t="s">
        <v>1004</v>
      </c>
      <c r="N315" s="30" t="s">
        <v>53</v>
      </c>
      <c r="O315" s="30"/>
      <c r="P315" s="30"/>
      <c r="Q315" s="30"/>
      <c r="R315" s="30"/>
      <c r="S315" s="30"/>
      <c r="T315" s="30"/>
      <c r="U315" s="30" t="n">
        <v>1028.46</v>
      </c>
      <c r="V315" s="30" t="n">
        <v>976.38</v>
      </c>
      <c r="W315" s="30" t="n">
        <v>196.46</v>
      </c>
      <c r="X315" s="30" t="s">
        <v>1005</v>
      </c>
      <c r="Y315" s="30" t="n">
        <v>135.18</v>
      </c>
      <c r="Z315" s="30" t="s">
        <v>1005</v>
      </c>
      <c r="AA315" s="30" t="n">
        <v>193.24</v>
      </c>
      <c r="AB315" s="30" t="s">
        <v>1005</v>
      </c>
      <c r="AC315" s="30" t="n">
        <v>73.71</v>
      </c>
      <c r="AD315" s="30" t="s">
        <v>1005</v>
      </c>
      <c r="AE315" s="30" t="n">
        <v>36.88</v>
      </c>
      <c r="AF315" s="30" t="s">
        <v>1005</v>
      </c>
      <c r="AG315" s="30" t="n">
        <v>0</v>
      </c>
      <c r="AH315" s="30" t="s">
        <v>1006</v>
      </c>
      <c r="AI315" s="30" t="n">
        <v>0</v>
      </c>
      <c r="AJ315" s="30" t="s">
        <v>1006</v>
      </c>
      <c r="AK315" s="30" t="n">
        <v>0</v>
      </c>
      <c r="AL315" s="30" t="s">
        <v>1006</v>
      </c>
      <c r="AM315" s="30" t="n">
        <v>0</v>
      </c>
      <c r="AN315" s="30"/>
      <c r="AO315" s="30" t="n">
        <v>78.97</v>
      </c>
      <c r="AP315" s="30" t="s">
        <v>1005</v>
      </c>
      <c r="AQ315" s="30" t="n">
        <v>79.92</v>
      </c>
      <c r="AR315" s="30" t="s">
        <v>1005</v>
      </c>
      <c r="AS315" s="30" t="n">
        <v>108.28</v>
      </c>
      <c r="AT315" s="30" t="s">
        <v>1005</v>
      </c>
      <c r="AU315" s="30" t="n">
        <v>902.64</v>
      </c>
      <c r="AV315" s="30" t="n">
        <v>0.80983</v>
      </c>
      <c r="AW315" s="30" t="s">
        <v>1007</v>
      </c>
      <c r="AX315" s="30" t="s">
        <v>1008</v>
      </c>
      <c r="AY315" s="30" t="n">
        <v>0</v>
      </c>
      <c r="AZ315" s="30"/>
    </row>
    <row collapsed="false" customFormat="true" customHeight="true" hidden="false" ht="33" outlineLevel="0" r="316" s="73">
      <c r="A316" s="30" t="n">
        <v>343</v>
      </c>
      <c r="B316" s="30" t="s">
        <v>510</v>
      </c>
      <c r="C316" s="30" t="s">
        <v>1009</v>
      </c>
      <c r="D316" s="30" t="s">
        <v>999</v>
      </c>
      <c r="E316" s="30" t="s">
        <v>1010</v>
      </c>
      <c r="F316" s="30" t="s">
        <v>1001</v>
      </c>
      <c r="G316" s="30" t="s">
        <v>1002</v>
      </c>
      <c r="H316" s="30" t="s">
        <v>1003</v>
      </c>
      <c r="I316" s="30" t="n">
        <v>1</v>
      </c>
      <c r="J316" s="30"/>
      <c r="K316" s="30" t="n">
        <v>80</v>
      </c>
      <c r="L316" s="30" t="n">
        <v>5.5</v>
      </c>
      <c r="M316" s="30" t="s">
        <v>1004</v>
      </c>
      <c r="N316" s="30" t="s">
        <v>54</v>
      </c>
      <c r="O316" s="30"/>
      <c r="P316" s="30"/>
      <c r="Q316" s="30"/>
      <c r="R316" s="30"/>
      <c r="S316" s="30"/>
      <c r="T316" s="30"/>
      <c r="U316" s="30" t="n">
        <v>245.27</v>
      </c>
      <c r="V316" s="30" t="n">
        <v>261.11</v>
      </c>
      <c r="W316" s="30" t="n">
        <v>53.52</v>
      </c>
      <c r="X316" s="30" t="s">
        <v>1005</v>
      </c>
      <c r="Y316" s="30" t="n">
        <v>34.13</v>
      </c>
      <c r="Z316" s="30" t="s">
        <v>1005</v>
      </c>
      <c r="AA316" s="30" t="n">
        <v>49.67</v>
      </c>
      <c r="AB316" s="30" t="s">
        <v>1005</v>
      </c>
      <c r="AC316" s="30" t="n">
        <v>18.03</v>
      </c>
      <c r="AD316" s="30" t="s">
        <v>1005</v>
      </c>
      <c r="AE316" s="30" t="n">
        <v>13.19</v>
      </c>
      <c r="AF316" s="30" t="s">
        <v>1005</v>
      </c>
      <c r="AG316" s="30" t="n">
        <v>0</v>
      </c>
      <c r="AH316" s="30" t="s">
        <v>1006</v>
      </c>
      <c r="AI316" s="30" t="n">
        <v>0</v>
      </c>
      <c r="AJ316" s="30" t="s">
        <v>1006</v>
      </c>
      <c r="AK316" s="30" t="n">
        <v>0</v>
      </c>
      <c r="AL316" s="30" t="s">
        <v>1006</v>
      </c>
      <c r="AM316" s="30" t="n">
        <v>0</v>
      </c>
      <c r="AN316" s="30"/>
      <c r="AO316" s="30" t="n">
        <v>23.61</v>
      </c>
      <c r="AP316" s="30" t="s">
        <v>1005</v>
      </c>
      <c r="AQ316" s="30" t="n">
        <v>20.91</v>
      </c>
      <c r="AR316" s="30" t="s">
        <v>1005</v>
      </c>
      <c r="AS316" s="30" t="n">
        <v>29.66</v>
      </c>
      <c r="AT316" s="30" t="s">
        <v>1005</v>
      </c>
      <c r="AU316" s="30" t="n">
        <v>242.72</v>
      </c>
      <c r="AV316" s="30" t="n">
        <v>0.10438</v>
      </c>
      <c r="AW316" s="30" t="s">
        <v>1007</v>
      </c>
      <c r="AX316" s="30" t="s">
        <v>1008</v>
      </c>
      <c r="AY316" s="30" t="n">
        <v>0</v>
      </c>
      <c r="AZ316" s="30"/>
    </row>
    <row collapsed="false" customFormat="true" customHeight="true" hidden="false" ht="33" outlineLevel="0" r="317" s="73">
      <c r="A317" s="30" t="n">
        <v>344</v>
      </c>
      <c r="B317" s="30" t="s">
        <v>511</v>
      </c>
      <c r="C317" s="30" t="s">
        <v>1009</v>
      </c>
      <c r="D317" s="30" t="s">
        <v>999</v>
      </c>
      <c r="E317" s="30" t="s">
        <v>1010</v>
      </c>
      <c r="F317" s="30" t="s">
        <v>1001</v>
      </c>
      <c r="G317" s="30" t="s">
        <v>1002</v>
      </c>
      <c r="H317" s="30" t="s">
        <v>1003</v>
      </c>
      <c r="I317" s="30" t="n">
        <v>1</v>
      </c>
      <c r="J317" s="30"/>
      <c r="K317" s="30" t="n">
        <v>80</v>
      </c>
      <c r="L317" s="30" t="n">
        <v>5.5</v>
      </c>
      <c r="M317" s="30" t="s">
        <v>1015</v>
      </c>
      <c r="N317" s="30" t="s">
        <v>53</v>
      </c>
      <c r="O317" s="30"/>
      <c r="P317" s="30"/>
      <c r="Q317" s="30"/>
      <c r="R317" s="30"/>
      <c r="S317" s="30"/>
      <c r="T317" s="30"/>
      <c r="U317" s="30" t="n">
        <v>312.8</v>
      </c>
      <c r="V317" s="30" t="n">
        <v>586.88</v>
      </c>
      <c r="W317" s="30" t="n">
        <v>71.08</v>
      </c>
      <c r="X317" s="30" t="s">
        <v>1006</v>
      </c>
      <c r="Y317" s="30" t="n">
        <v>71.08</v>
      </c>
      <c r="Z317" s="30" t="s">
        <v>1006</v>
      </c>
      <c r="AA317" s="30" t="n">
        <v>71.08</v>
      </c>
      <c r="AB317" s="30" t="s">
        <v>1006</v>
      </c>
      <c r="AC317" s="30" t="n">
        <v>71.08</v>
      </c>
      <c r="AD317" s="30" t="s">
        <v>1006</v>
      </c>
      <c r="AE317" s="30" t="n">
        <v>20.64</v>
      </c>
      <c r="AF317" s="30" t="s">
        <v>1006</v>
      </c>
      <c r="AG317" s="30" t="n">
        <v>0</v>
      </c>
      <c r="AH317" s="30" t="s">
        <v>1006</v>
      </c>
      <c r="AI317" s="30" t="n">
        <v>0</v>
      </c>
      <c r="AJ317" s="30" t="s">
        <v>1006</v>
      </c>
      <c r="AK317" s="30" t="n">
        <v>0</v>
      </c>
      <c r="AL317" s="30" t="s">
        <v>1006</v>
      </c>
      <c r="AM317" s="30" t="n">
        <v>17.43</v>
      </c>
      <c r="AN317" s="30" t="s">
        <v>1006</v>
      </c>
      <c r="AO317" s="30" t="n">
        <v>74.69</v>
      </c>
      <c r="AP317" s="30" t="s">
        <v>1006</v>
      </c>
      <c r="AQ317" s="30" t="n">
        <v>74.69</v>
      </c>
      <c r="AR317" s="30" t="s">
        <v>1006</v>
      </c>
      <c r="AS317" s="30" t="n">
        <v>20.85</v>
      </c>
      <c r="AT317" s="30" t="s">
        <v>1005</v>
      </c>
      <c r="AU317" s="30" t="n">
        <v>492.62</v>
      </c>
      <c r="AV317" s="30" t="n">
        <v>0.24362</v>
      </c>
      <c r="AW317" s="30" t="s">
        <v>1016</v>
      </c>
      <c r="AX317" s="30" t="s">
        <v>1008</v>
      </c>
      <c r="AY317" s="30" t="n">
        <v>1</v>
      </c>
      <c r="AZ317" s="30"/>
    </row>
    <row collapsed="false" customFormat="true" customHeight="true" hidden="false" ht="33" outlineLevel="0" r="318" s="73">
      <c r="A318" s="30" t="n">
        <v>345</v>
      </c>
      <c r="B318" s="30" t="s">
        <v>512</v>
      </c>
      <c r="C318" s="30" t="s">
        <v>1009</v>
      </c>
      <c r="D318" s="30" t="s">
        <v>999</v>
      </c>
      <c r="E318" s="30" t="s">
        <v>1000</v>
      </c>
      <c r="F318" s="30" t="s">
        <v>1001</v>
      </c>
      <c r="G318" s="30" t="s">
        <v>1002</v>
      </c>
      <c r="H318" s="30" t="s">
        <v>1003</v>
      </c>
      <c r="I318" s="30" t="n">
        <v>1</v>
      </c>
      <c r="J318" s="30"/>
      <c r="K318" s="30" t="n">
        <v>65</v>
      </c>
      <c r="L318" s="30" t="n">
        <v>5.5</v>
      </c>
      <c r="M318" s="30" t="s">
        <v>1004</v>
      </c>
      <c r="N318" s="30" t="s">
        <v>54</v>
      </c>
      <c r="O318" s="30"/>
      <c r="P318" s="30"/>
      <c r="Q318" s="30"/>
      <c r="R318" s="30"/>
      <c r="S318" s="30"/>
      <c r="T318" s="30"/>
      <c r="U318" s="30" t="n">
        <v>220.41</v>
      </c>
      <c r="V318" s="30" t="n">
        <v>221.95</v>
      </c>
      <c r="W318" s="30" t="n">
        <v>43.99</v>
      </c>
      <c r="X318" s="30" t="s">
        <v>1005</v>
      </c>
      <c r="Y318" s="30" t="n">
        <v>27.93</v>
      </c>
      <c r="Z318" s="30" t="s">
        <v>1005</v>
      </c>
      <c r="AA318" s="30" t="n">
        <v>44</v>
      </c>
      <c r="AB318" s="30" t="s">
        <v>1005</v>
      </c>
      <c r="AC318" s="30" t="n">
        <v>14.31</v>
      </c>
      <c r="AD318" s="30" t="s">
        <v>1005</v>
      </c>
      <c r="AE318" s="30" t="n">
        <v>7.34</v>
      </c>
      <c r="AF318" s="30" t="s">
        <v>1005</v>
      </c>
      <c r="AG318" s="30" t="n">
        <v>0</v>
      </c>
      <c r="AH318" s="30" t="s">
        <v>1006</v>
      </c>
      <c r="AI318" s="30" t="n">
        <v>0</v>
      </c>
      <c r="AJ318" s="30" t="s">
        <v>1006</v>
      </c>
      <c r="AK318" s="30" t="n">
        <v>0</v>
      </c>
      <c r="AL318" s="30" t="s">
        <v>1006</v>
      </c>
      <c r="AM318" s="30" t="n">
        <v>0</v>
      </c>
      <c r="AN318" s="30"/>
      <c r="AO318" s="30" t="n">
        <v>18.72</v>
      </c>
      <c r="AP318" s="30" t="s">
        <v>1005</v>
      </c>
      <c r="AQ318" s="30" t="n">
        <v>16.62</v>
      </c>
      <c r="AR318" s="30" t="s">
        <v>1005</v>
      </c>
      <c r="AS318" s="30" t="n">
        <v>24.32</v>
      </c>
      <c r="AT318" s="30" t="s">
        <v>1005</v>
      </c>
      <c r="AU318" s="30" t="n">
        <v>197.23</v>
      </c>
      <c r="AV318" s="30" t="n">
        <v>0.08632</v>
      </c>
      <c r="AW318" s="30" t="s">
        <v>1007</v>
      </c>
      <c r="AX318" s="30" t="s">
        <v>1008</v>
      </c>
      <c r="AY318" s="30" t="n">
        <v>0</v>
      </c>
      <c r="AZ318" s="30"/>
    </row>
    <row collapsed="false" customFormat="true" customHeight="true" hidden="false" ht="33" outlineLevel="0" r="319" s="73">
      <c r="A319" s="30" t="n">
        <v>346</v>
      </c>
      <c r="B319" s="30" t="s">
        <v>513</v>
      </c>
      <c r="C319" s="30" t="s">
        <v>1009</v>
      </c>
      <c r="D319" s="30" t="s">
        <v>999</v>
      </c>
      <c r="E319" s="30" t="s">
        <v>1000</v>
      </c>
      <c r="F319" s="30" t="s">
        <v>1001</v>
      </c>
      <c r="G319" s="30" t="s">
        <v>1002</v>
      </c>
      <c r="H319" s="30" t="s">
        <v>1003</v>
      </c>
      <c r="I319" s="30" t="n">
        <v>1</v>
      </c>
      <c r="J319" s="30"/>
      <c r="K319" s="30" t="n">
        <v>65</v>
      </c>
      <c r="L319" s="30" t="n">
        <v>5.5</v>
      </c>
      <c r="M319" s="30" t="s">
        <v>1004</v>
      </c>
      <c r="N319" s="30" t="s">
        <v>54</v>
      </c>
      <c r="O319" s="30"/>
      <c r="P319" s="30"/>
      <c r="Q319" s="30"/>
      <c r="R319" s="30"/>
      <c r="S319" s="30"/>
      <c r="T319" s="30"/>
      <c r="U319" s="30" t="n">
        <v>180.76</v>
      </c>
      <c r="V319" s="30" t="n">
        <v>213.87</v>
      </c>
      <c r="W319" s="30" t="n">
        <v>42.78</v>
      </c>
      <c r="X319" s="30" t="s">
        <v>1005</v>
      </c>
      <c r="Y319" s="30" t="n">
        <v>27.2</v>
      </c>
      <c r="Z319" s="30" t="s">
        <v>1005</v>
      </c>
      <c r="AA319" s="30" t="n">
        <v>40.61</v>
      </c>
      <c r="AB319" s="30" t="s">
        <v>1005</v>
      </c>
      <c r="AC319" s="30" t="n">
        <v>14.59</v>
      </c>
      <c r="AD319" s="30" t="s">
        <v>1005</v>
      </c>
      <c r="AE319" s="30" t="n">
        <v>5.97</v>
      </c>
      <c r="AF319" s="30" t="s">
        <v>1005</v>
      </c>
      <c r="AG319" s="30" t="n">
        <v>0</v>
      </c>
      <c r="AH319" s="30" t="s">
        <v>1006</v>
      </c>
      <c r="AI319" s="30" t="n">
        <v>0</v>
      </c>
      <c r="AJ319" s="30" t="s">
        <v>1006</v>
      </c>
      <c r="AK319" s="30" t="n">
        <v>0</v>
      </c>
      <c r="AL319" s="30" t="s">
        <v>1006</v>
      </c>
      <c r="AM319" s="30" t="n">
        <v>0</v>
      </c>
      <c r="AN319" s="30"/>
      <c r="AO319" s="30" t="n">
        <v>16.02</v>
      </c>
      <c r="AP319" s="30" t="s">
        <v>1005</v>
      </c>
      <c r="AQ319" s="30" t="n">
        <v>15.73</v>
      </c>
      <c r="AR319" s="30" t="s">
        <v>1005</v>
      </c>
      <c r="AS319" s="30" t="n">
        <v>23.56</v>
      </c>
      <c r="AT319" s="30" t="s">
        <v>1005</v>
      </c>
      <c r="AU319" s="30" t="n">
        <v>186.46</v>
      </c>
      <c r="AV319" s="30" t="n">
        <v>0.09334</v>
      </c>
      <c r="AW319" s="30" t="s">
        <v>1007</v>
      </c>
      <c r="AX319" s="30" t="s">
        <v>1008</v>
      </c>
      <c r="AY319" s="30" t="n">
        <v>0</v>
      </c>
      <c r="AZ319" s="30"/>
    </row>
    <row collapsed="false" customFormat="true" customHeight="true" hidden="false" ht="33" outlineLevel="0" r="320" s="73">
      <c r="A320" s="30" t="n">
        <v>347</v>
      </c>
      <c r="B320" s="30" t="s">
        <v>514</v>
      </c>
      <c r="C320" s="30" t="s">
        <v>1009</v>
      </c>
      <c r="D320" s="30" t="s">
        <v>999</v>
      </c>
      <c r="E320" s="30" t="s">
        <v>1000</v>
      </c>
      <c r="F320" s="30" t="s">
        <v>1001</v>
      </c>
      <c r="G320" s="30" t="s">
        <v>1002</v>
      </c>
      <c r="H320" s="30" t="s">
        <v>1003</v>
      </c>
      <c r="I320" s="30" t="n">
        <v>1</v>
      </c>
      <c r="J320" s="30"/>
      <c r="K320" s="30" t="n">
        <v>65</v>
      </c>
      <c r="L320" s="30" t="n">
        <v>5.5</v>
      </c>
      <c r="M320" s="30" t="s">
        <v>1004</v>
      </c>
      <c r="N320" s="30" t="s">
        <v>54</v>
      </c>
      <c r="O320" s="30"/>
      <c r="P320" s="30"/>
      <c r="Q320" s="30"/>
      <c r="R320" s="30"/>
      <c r="S320" s="30"/>
      <c r="T320" s="30"/>
      <c r="U320" s="30" t="n">
        <v>276.89</v>
      </c>
      <c r="V320" s="30" t="n">
        <v>299.44</v>
      </c>
      <c r="W320" s="30" t="n">
        <v>58.85</v>
      </c>
      <c r="X320" s="30" t="s">
        <v>1006</v>
      </c>
      <c r="Y320" s="30" t="n">
        <v>38.93</v>
      </c>
      <c r="Z320" s="30" t="s">
        <v>1006</v>
      </c>
      <c r="AA320" s="30" t="n">
        <v>56.87</v>
      </c>
      <c r="AB320" s="30" t="s">
        <v>1006</v>
      </c>
      <c r="AC320" s="30" t="n">
        <v>19.57</v>
      </c>
      <c r="AD320" s="30" t="s">
        <v>1006</v>
      </c>
      <c r="AE320" s="30" t="n">
        <v>9.46</v>
      </c>
      <c r="AF320" s="30" t="s">
        <v>1006</v>
      </c>
      <c r="AG320" s="30" t="n">
        <v>0</v>
      </c>
      <c r="AH320" s="30" t="s">
        <v>1006</v>
      </c>
      <c r="AI320" s="30" t="n">
        <v>0</v>
      </c>
      <c r="AJ320" s="30" t="s">
        <v>1006</v>
      </c>
      <c r="AK320" s="30" t="n">
        <v>0</v>
      </c>
      <c r="AL320" s="30" t="s">
        <v>1006</v>
      </c>
      <c r="AM320" s="30" t="n">
        <v>0</v>
      </c>
      <c r="AN320" s="30"/>
      <c r="AO320" s="30" t="n">
        <v>22.48</v>
      </c>
      <c r="AP320" s="30" t="s">
        <v>1005</v>
      </c>
      <c r="AQ320" s="30" t="n">
        <v>22.89</v>
      </c>
      <c r="AR320" s="30" t="s">
        <v>1005</v>
      </c>
      <c r="AS320" s="30" t="n">
        <v>32.08</v>
      </c>
      <c r="AT320" s="30" t="s">
        <v>1005</v>
      </c>
      <c r="AU320" s="30" t="n">
        <v>261.13</v>
      </c>
      <c r="AV320" s="30" t="n">
        <v>0.13248</v>
      </c>
      <c r="AW320" s="30" t="s">
        <v>1007</v>
      </c>
      <c r="AX320" s="30" t="s">
        <v>1008</v>
      </c>
      <c r="AY320" s="30" t="n">
        <v>0</v>
      </c>
      <c r="AZ320" s="30"/>
    </row>
    <row collapsed="false" customFormat="true" customHeight="true" hidden="false" ht="33" outlineLevel="0" r="321" s="73">
      <c r="A321" s="30" t="n">
        <v>348</v>
      </c>
      <c r="B321" s="30" t="s">
        <v>515</v>
      </c>
      <c r="C321" s="30" t="s">
        <v>1009</v>
      </c>
      <c r="D321" s="30" t="s">
        <v>999</v>
      </c>
      <c r="E321" s="30" t="s">
        <v>1010</v>
      </c>
      <c r="F321" s="30" t="s">
        <v>1001</v>
      </c>
      <c r="G321" s="30" t="s">
        <v>1002</v>
      </c>
      <c r="H321" s="30" t="s">
        <v>1003</v>
      </c>
      <c r="I321" s="30" t="n">
        <v>1</v>
      </c>
      <c r="J321" s="30"/>
      <c r="K321" s="30" t="n">
        <v>80</v>
      </c>
      <c r="L321" s="30" t="n">
        <v>5.5</v>
      </c>
      <c r="M321" s="30" t="s">
        <v>1015</v>
      </c>
      <c r="N321" s="30" t="s">
        <v>53</v>
      </c>
      <c r="O321" s="30"/>
      <c r="P321" s="30"/>
      <c r="Q321" s="30"/>
      <c r="R321" s="30"/>
      <c r="S321" s="30"/>
      <c r="T321" s="30"/>
      <c r="U321" s="30" t="n">
        <v>177.1</v>
      </c>
      <c r="V321" s="30" t="n">
        <v>99.82</v>
      </c>
      <c r="W321" s="30" t="n">
        <v>34.44</v>
      </c>
      <c r="X321" s="30" t="s">
        <v>1006</v>
      </c>
      <c r="Y321" s="30" t="n">
        <v>34.44</v>
      </c>
      <c r="Z321" s="30" t="s">
        <v>1006</v>
      </c>
      <c r="AA321" s="30" t="n">
        <v>34.44</v>
      </c>
      <c r="AB321" s="30" t="s">
        <v>1006</v>
      </c>
      <c r="AC321" s="30" t="n">
        <v>34.44</v>
      </c>
      <c r="AD321" s="30" t="s">
        <v>1006</v>
      </c>
      <c r="AE321" s="30" t="n">
        <v>10</v>
      </c>
      <c r="AF321" s="30" t="s">
        <v>1006</v>
      </c>
      <c r="AG321" s="30" t="n">
        <v>0</v>
      </c>
      <c r="AH321" s="30" t="s">
        <v>1006</v>
      </c>
      <c r="AI321" s="30" t="n">
        <v>0</v>
      </c>
      <c r="AJ321" s="30" t="s">
        <v>1006</v>
      </c>
      <c r="AK321" s="30" t="n">
        <v>0</v>
      </c>
      <c r="AL321" s="30" t="s">
        <v>1006</v>
      </c>
      <c r="AM321" s="30" t="n">
        <v>8.44</v>
      </c>
      <c r="AN321" s="30" t="s">
        <v>1006</v>
      </c>
      <c r="AO321" s="30" t="n">
        <v>36.18</v>
      </c>
      <c r="AP321" s="30" t="s">
        <v>1006</v>
      </c>
      <c r="AQ321" s="30" t="n">
        <v>36.18</v>
      </c>
      <c r="AR321" s="30" t="s">
        <v>1006</v>
      </c>
      <c r="AS321" s="30" t="n">
        <v>36.18</v>
      </c>
      <c r="AT321" s="30" t="s">
        <v>1006</v>
      </c>
      <c r="AU321" s="30" t="n">
        <v>264.74</v>
      </c>
      <c r="AV321" s="30" t="n">
        <v>0.14446</v>
      </c>
      <c r="AW321" s="30" t="s">
        <v>1016</v>
      </c>
      <c r="AX321" s="30" t="s">
        <v>1008</v>
      </c>
      <c r="AY321" s="30" t="n">
        <v>1</v>
      </c>
      <c r="AZ321" s="30"/>
    </row>
    <row collapsed="false" customFormat="true" customHeight="true" hidden="false" ht="33" outlineLevel="0" r="322" s="73">
      <c r="A322" s="30" t="n">
        <v>349</v>
      </c>
      <c r="B322" s="30" t="s">
        <v>516</v>
      </c>
      <c r="C322" s="30" t="s">
        <v>1009</v>
      </c>
      <c r="D322" s="30" t="s">
        <v>999</v>
      </c>
      <c r="E322" s="30" t="s">
        <v>1010</v>
      </c>
      <c r="F322" s="30" t="s">
        <v>1001</v>
      </c>
      <c r="G322" s="30" t="s">
        <v>1002</v>
      </c>
      <c r="H322" s="30" t="s">
        <v>1003</v>
      </c>
      <c r="I322" s="30" t="n">
        <v>1</v>
      </c>
      <c r="J322" s="30"/>
      <c r="K322" s="30" t="n">
        <v>65</v>
      </c>
      <c r="L322" s="30" t="n">
        <v>5.5</v>
      </c>
      <c r="M322" s="30" t="s">
        <v>1004</v>
      </c>
      <c r="N322" s="30" t="s">
        <v>54</v>
      </c>
      <c r="O322" s="30"/>
      <c r="P322" s="30"/>
      <c r="Q322" s="30"/>
      <c r="R322" s="30"/>
      <c r="S322" s="30"/>
      <c r="T322" s="30"/>
      <c r="U322" s="30" t="n">
        <v>263.41</v>
      </c>
      <c r="V322" s="30" t="n">
        <v>343.05</v>
      </c>
      <c r="W322" s="30" t="n">
        <v>32.11</v>
      </c>
      <c r="X322" s="30" t="s">
        <v>1006</v>
      </c>
      <c r="Y322" s="30" t="n">
        <v>32.11</v>
      </c>
      <c r="Z322" s="30" t="s">
        <v>1006</v>
      </c>
      <c r="AA322" s="30" t="n">
        <v>32.11</v>
      </c>
      <c r="AB322" s="30" t="s">
        <v>1006</v>
      </c>
      <c r="AC322" s="30" t="n">
        <v>32.11</v>
      </c>
      <c r="AD322" s="30" t="s">
        <v>1006</v>
      </c>
      <c r="AE322" s="30" t="n">
        <v>9.32</v>
      </c>
      <c r="AF322" s="30" t="s">
        <v>1006</v>
      </c>
      <c r="AG322" s="30" t="n">
        <v>0</v>
      </c>
      <c r="AH322" s="30" t="s">
        <v>1006</v>
      </c>
      <c r="AI322" s="30" t="n">
        <v>0</v>
      </c>
      <c r="AJ322" s="30" t="s">
        <v>1006</v>
      </c>
      <c r="AK322" s="30" t="n">
        <v>0</v>
      </c>
      <c r="AL322" s="30" t="s">
        <v>1006</v>
      </c>
      <c r="AM322" s="30" t="n">
        <v>7.87</v>
      </c>
      <c r="AN322" s="30" t="s">
        <v>1006</v>
      </c>
      <c r="AO322" s="30" t="n">
        <v>33.74</v>
      </c>
      <c r="AP322" s="30" t="s">
        <v>1006</v>
      </c>
      <c r="AQ322" s="30" t="n">
        <v>33.74</v>
      </c>
      <c r="AR322" s="30" t="s">
        <v>1006</v>
      </c>
      <c r="AS322" s="30" t="n">
        <v>33.74</v>
      </c>
      <c r="AT322" s="30" t="s">
        <v>1006</v>
      </c>
      <c r="AU322" s="30" t="n">
        <v>246.85</v>
      </c>
      <c r="AV322" s="30" t="n">
        <v>0.13963</v>
      </c>
      <c r="AW322" s="30" t="s">
        <v>1016</v>
      </c>
      <c r="AX322" s="30" t="s">
        <v>1008</v>
      </c>
      <c r="AY322" s="30" t="n">
        <v>1</v>
      </c>
      <c r="AZ322" s="30"/>
    </row>
    <row collapsed="false" customFormat="true" customHeight="true" hidden="false" ht="33" outlineLevel="0" r="323" s="73">
      <c r="A323" s="30" t="n">
        <v>350</v>
      </c>
      <c r="B323" s="30" t="s">
        <v>518</v>
      </c>
      <c r="C323" s="30" t="s">
        <v>1009</v>
      </c>
      <c r="D323" s="30" t="s">
        <v>999</v>
      </c>
      <c r="E323" s="30" t="s">
        <v>1010</v>
      </c>
      <c r="F323" s="30" t="s">
        <v>1001</v>
      </c>
      <c r="G323" s="30" t="s">
        <v>1002</v>
      </c>
      <c r="H323" s="30" t="s">
        <v>1003</v>
      </c>
      <c r="I323" s="30" t="n">
        <v>1</v>
      </c>
      <c r="J323" s="30"/>
      <c r="K323" s="30" t="n">
        <v>65</v>
      </c>
      <c r="L323" s="30" t="n">
        <v>5.5</v>
      </c>
      <c r="M323" s="30" t="s">
        <v>1015</v>
      </c>
      <c r="N323" s="30" t="s">
        <v>53</v>
      </c>
      <c r="O323" s="30"/>
      <c r="P323" s="30"/>
      <c r="Q323" s="30"/>
      <c r="R323" s="30"/>
      <c r="S323" s="30"/>
      <c r="T323" s="30"/>
      <c r="U323" s="30" t="n">
        <v>346.65</v>
      </c>
      <c r="V323" s="30" t="n">
        <v>408.77</v>
      </c>
      <c r="W323" s="30" t="n">
        <v>37.83</v>
      </c>
      <c r="X323" s="30" t="s">
        <v>1006</v>
      </c>
      <c r="Y323" s="30" t="n">
        <v>37.83</v>
      </c>
      <c r="Z323" s="30" t="s">
        <v>1006</v>
      </c>
      <c r="AA323" s="30" t="n">
        <v>37.83</v>
      </c>
      <c r="AB323" s="30" t="s">
        <v>1006</v>
      </c>
      <c r="AC323" s="30" t="n">
        <v>37.83</v>
      </c>
      <c r="AD323" s="30" t="s">
        <v>1006</v>
      </c>
      <c r="AE323" s="30" t="n">
        <v>10.98</v>
      </c>
      <c r="AF323" s="30" t="s">
        <v>1006</v>
      </c>
      <c r="AG323" s="30" t="n">
        <v>0</v>
      </c>
      <c r="AH323" s="30" t="s">
        <v>1006</v>
      </c>
      <c r="AI323" s="30" t="n">
        <v>0</v>
      </c>
      <c r="AJ323" s="30" t="s">
        <v>1006</v>
      </c>
      <c r="AK323" s="30" t="n">
        <v>0</v>
      </c>
      <c r="AL323" s="30" t="s">
        <v>1006</v>
      </c>
      <c r="AM323" s="30" t="n">
        <v>9.27</v>
      </c>
      <c r="AN323" s="30" t="s">
        <v>1006</v>
      </c>
      <c r="AO323" s="30" t="n">
        <v>39.74</v>
      </c>
      <c r="AP323" s="30" t="s">
        <v>1006</v>
      </c>
      <c r="AQ323" s="30" t="n">
        <v>39.74</v>
      </c>
      <c r="AR323" s="30" t="s">
        <v>1006</v>
      </c>
      <c r="AS323" s="30" t="n">
        <v>39.74</v>
      </c>
      <c r="AT323" s="30" t="s">
        <v>1006</v>
      </c>
      <c r="AU323" s="30" t="n">
        <v>290.79</v>
      </c>
      <c r="AV323" s="30" t="n">
        <v>0.20823</v>
      </c>
      <c r="AW323" s="30" t="s">
        <v>1016</v>
      </c>
      <c r="AX323" s="30" t="s">
        <v>1008</v>
      </c>
      <c r="AY323" s="30" t="n">
        <v>1</v>
      </c>
      <c r="AZ323" s="30"/>
    </row>
    <row collapsed="false" customFormat="true" customHeight="true" hidden="false" ht="33" outlineLevel="0" r="324" s="73">
      <c r="A324" s="30" t="n">
        <v>351</v>
      </c>
      <c r="B324" s="30" t="s">
        <v>519</v>
      </c>
      <c r="C324" s="30" t="s">
        <v>1009</v>
      </c>
      <c r="D324" s="30" t="s">
        <v>999</v>
      </c>
      <c r="E324" s="30" t="s">
        <v>1010</v>
      </c>
      <c r="F324" s="30" t="s">
        <v>1001</v>
      </c>
      <c r="G324" s="30" t="s">
        <v>1002</v>
      </c>
      <c r="H324" s="30" t="s">
        <v>1003</v>
      </c>
      <c r="I324" s="30"/>
      <c r="J324" s="30"/>
      <c r="K324" s="30" t="n">
        <v>65</v>
      </c>
      <c r="L324" s="30" t="n">
        <v>5.5</v>
      </c>
      <c r="M324" s="30" t="s">
        <v>1004</v>
      </c>
      <c r="N324" s="30" t="s">
        <v>54</v>
      </c>
      <c r="O324" s="30"/>
      <c r="P324" s="30"/>
      <c r="Q324" s="30"/>
      <c r="R324" s="30"/>
      <c r="S324" s="30"/>
      <c r="T324" s="30"/>
      <c r="U324" s="30" t="n">
        <v>173.56</v>
      </c>
      <c r="V324" s="30" t="n">
        <v>283.38</v>
      </c>
      <c r="W324" s="30" t="n">
        <v>28.08</v>
      </c>
      <c r="X324" s="30" t="s">
        <v>1006</v>
      </c>
      <c r="Y324" s="30" t="n">
        <v>28.08</v>
      </c>
      <c r="Z324" s="30" t="s">
        <v>1006</v>
      </c>
      <c r="AA324" s="30" t="n">
        <v>28.08</v>
      </c>
      <c r="AB324" s="30" t="s">
        <v>1006</v>
      </c>
      <c r="AC324" s="30" t="n">
        <v>28.08</v>
      </c>
      <c r="AD324" s="30" t="s">
        <v>1006</v>
      </c>
      <c r="AE324" s="30" t="n">
        <v>8.15</v>
      </c>
      <c r="AF324" s="30" t="s">
        <v>1006</v>
      </c>
      <c r="AG324" s="30" t="n">
        <v>0</v>
      </c>
      <c r="AH324" s="30" t="s">
        <v>1006</v>
      </c>
      <c r="AI324" s="30" t="n">
        <v>0</v>
      </c>
      <c r="AJ324" s="30" t="s">
        <v>1006</v>
      </c>
      <c r="AK324" s="30" t="n">
        <v>0</v>
      </c>
      <c r="AL324" s="30" t="s">
        <v>1006</v>
      </c>
      <c r="AM324" s="30" t="n">
        <v>5.9</v>
      </c>
      <c r="AN324" s="30" t="s">
        <v>1006</v>
      </c>
      <c r="AO324" s="30" t="n">
        <v>29.5</v>
      </c>
      <c r="AP324" s="30" t="s">
        <v>1006</v>
      </c>
      <c r="AQ324" s="30" t="n">
        <v>29.5</v>
      </c>
      <c r="AR324" s="30" t="s">
        <v>1006</v>
      </c>
      <c r="AS324" s="30" t="n">
        <v>29.5</v>
      </c>
      <c r="AT324" s="30" t="s">
        <v>1006</v>
      </c>
      <c r="AU324" s="30" t="n">
        <v>214.87</v>
      </c>
      <c r="AV324" s="30" t="n">
        <v>0.0889</v>
      </c>
      <c r="AW324" s="30" t="s">
        <v>1007</v>
      </c>
      <c r="AX324" s="30" t="s">
        <v>1008</v>
      </c>
      <c r="AY324" s="30"/>
      <c r="AZ324" s="30"/>
    </row>
    <row collapsed="false" customFormat="true" customHeight="true" hidden="false" ht="33" outlineLevel="0" r="325" s="73">
      <c r="A325" s="30" t="n">
        <v>352</v>
      </c>
      <c r="B325" s="30" t="s">
        <v>520</v>
      </c>
      <c r="C325" s="30" t="s">
        <v>1009</v>
      </c>
      <c r="D325" s="30" t="s">
        <v>999</v>
      </c>
      <c r="E325" s="30" t="s">
        <v>1010</v>
      </c>
      <c r="F325" s="30" t="s">
        <v>1001</v>
      </c>
      <c r="G325" s="30" t="s">
        <v>1002</v>
      </c>
      <c r="H325" s="30" t="s">
        <v>1003</v>
      </c>
      <c r="I325" s="30" t="n">
        <v>0</v>
      </c>
      <c r="J325" s="30"/>
      <c r="K325" s="30" t="n">
        <v>65</v>
      </c>
      <c r="L325" s="30" t="n">
        <v>5.5</v>
      </c>
      <c r="M325" s="30" t="s">
        <v>1004</v>
      </c>
      <c r="N325" s="30" t="s">
        <v>54</v>
      </c>
      <c r="O325" s="30"/>
      <c r="P325" s="30"/>
      <c r="Q325" s="30"/>
      <c r="R325" s="30"/>
      <c r="S325" s="30"/>
      <c r="T325" s="30"/>
      <c r="U325" s="30" t="n">
        <v>185.52</v>
      </c>
      <c r="V325" s="30" t="n">
        <v>233.77</v>
      </c>
      <c r="W325" s="30" t="n">
        <v>20.95</v>
      </c>
      <c r="X325" s="30" t="s">
        <v>1006</v>
      </c>
      <c r="Y325" s="30" t="n">
        <v>20.95</v>
      </c>
      <c r="Z325" s="30" t="s">
        <v>1006</v>
      </c>
      <c r="AA325" s="30" t="n">
        <v>20.95</v>
      </c>
      <c r="AB325" s="30" t="s">
        <v>1006</v>
      </c>
      <c r="AC325" s="30" t="n">
        <v>20.95</v>
      </c>
      <c r="AD325" s="30" t="s">
        <v>1006</v>
      </c>
      <c r="AE325" s="30" t="n">
        <v>6.08</v>
      </c>
      <c r="AF325" s="30" t="s">
        <v>1006</v>
      </c>
      <c r="AG325" s="30" t="n">
        <v>0</v>
      </c>
      <c r="AH325" s="30" t="s">
        <v>1006</v>
      </c>
      <c r="AI325" s="30" t="n">
        <v>0</v>
      </c>
      <c r="AJ325" s="30" t="s">
        <v>1006</v>
      </c>
      <c r="AK325" s="30" t="n">
        <v>0</v>
      </c>
      <c r="AL325" s="30" t="s">
        <v>1006</v>
      </c>
      <c r="AM325" s="30" t="n">
        <v>5.14</v>
      </c>
      <c r="AN325" s="30" t="s">
        <v>1006</v>
      </c>
      <c r="AO325" s="30" t="n">
        <v>22.01</v>
      </c>
      <c r="AP325" s="30" t="s">
        <v>1006</v>
      </c>
      <c r="AQ325" s="30" t="n">
        <v>22.01</v>
      </c>
      <c r="AR325" s="30" t="s">
        <v>1006</v>
      </c>
      <c r="AS325" s="30" t="n">
        <v>22.01</v>
      </c>
      <c r="AT325" s="30" t="s">
        <v>1006</v>
      </c>
      <c r="AU325" s="30" t="n">
        <v>161.05</v>
      </c>
      <c r="AV325" s="30" t="n">
        <v>0.09966</v>
      </c>
      <c r="AW325" s="30" t="s">
        <v>1007</v>
      </c>
      <c r="AX325" s="30" t="s">
        <v>1008</v>
      </c>
      <c r="AY325" s="30"/>
      <c r="AZ325" s="30"/>
    </row>
    <row collapsed="false" customFormat="true" customHeight="true" hidden="false" ht="33" outlineLevel="0" r="326" s="73">
      <c r="A326" s="30" t="n">
        <v>353</v>
      </c>
      <c r="B326" s="30" t="s">
        <v>521</v>
      </c>
      <c r="C326" s="30" t="s">
        <v>1009</v>
      </c>
      <c r="D326" s="30" t="s">
        <v>999</v>
      </c>
      <c r="E326" s="30" t="s">
        <v>1010</v>
      </c>
      <c r="F326" s="30" t="s">
        <v>1001</v>
      </c>
      <c r="G326" s="30" t="s">
        <v>1002</v>
      </c>
      <c r="H326" s="30" t="s">
        <v>1003</v>
      </c>
      <c r="I326" s="30" t="n">
        <v>1</v>
      </c>
      <c r="J326" s="30"/>
      <c r="K326" s="30" t="n">
        <v>80</v>
      </c>
      <c r="L326" s="30" t="n">
        <v>5.5</v>
      </c>
      <c r="M326" s="30" t="s">
        <v>1015</v>
      </c>
      <c r="N326" s="30" t="s">
        <v>54</v>
      </c>
      <c r="O326" s="30"/>
      <c r="P326" s="30"/>
      <c r="Q326" s="30"/>
      <c r="R326" s="30"/>
      <c r="S326" s="30"/>
      <c r="T326" s="30"/>
      <c r="U326" s="30" t="n">
        <v>958.09</v>
      </c>
      <c r="V326" s="30" t="n">
        <v>1229.77</v>
      </c>
      <c r="W326" s="30" t="n">
        <v>115.14</v>
      </c>
      <c r="X326" s="30" t="s">
        <v>1006</v>
      </c>
      <c r="Y326" s="30" t="n">
        <v>115.14</v>
      </c>
      <c r="Z326" s="30" t="s">
        <v>1006</v>
      </c>
      <c r="AA326" s="30" t="n">
        <v>115.14</v>
      </c>
      <c r="AB326" s="30" t="s">
        <v>1006</v>
      </c>
      <c r="AC326" s="30" t="n">
        <v>115.14</v>
      </c>
      <c r="AD326" s="30" t="s">
        <v>1006</v>
      </c>
      <c r="AE326" s="30" t="n">
        <v>33.43</v>
      </c>
      <c r="AF326" s="30" t="s">
        <v>1006</v>
      </c>
      <c r="AG326" s="30" t="n">
        <v>0</v>
      </c>
      <c r="AH326" s="30" t="s">
        <v>1006</v>
      </c>
      <c r="AI326" s="30" t="n">
        <v>0</v>
      </c>
      <c r="AJ326" s="30" t="s">
        <v>1006</v>
      </c>
      <c r="AK326" s="30" t="n">
        <v>0</v>
      </c>
      <c r="AL326" s="30" t="s">
        <v>1006</v>
      </c>
      <c r="AM326" s="30" t="n">
        <v>28.23</v>
      </c>
      <c r="AN326" s="30" t="s">
        <v>1006</v>
      </c>
      <c r="AO326" s="30" t="n">
        <v>120.98</v>
      </c>
      <c r="AP326" s="30" t="s">
        <v>1006</v>
      </c>
      <c r="AQ326" s="30" t="n">
        <v>120.98</v>
      </c>
      <c r="AR326" s="30" t="s">
        <v>1006</v>
      </c>
      <c r="AS326" s="30" t="n">
        <v>81.54</v>
      </c>
      <c r="AT326" s="30" t="s">
        <v>1005</v>
      </c>
      <c r="AU326" s="30" t="n">
        <v>845.72</v>
      </c>
      <c r="AV326" s="30" t="n">
        <v>0.50266</v>
      </c>
      <c r="AW326" s="30" t="s">
        <v>1016</v>
      </c>
      <c r="AX326" s="30" t="s">
        <v>1008</v>
      </c>
      <c r="AY326" s="30" t="n">
        <v>1</v>
      </c>
      <c r="AZ326" s="30"/>
    </row>
    <row collapsed="false" customFormat="true" customHeight="true" hidden="false" ht="33" outlineLevel="0" r="327" s="73">
      <c r="A327" s="30" t="n">
        <v>354</v>
      </c>
      <c r="B327" s="30" t="s">
        <v>522</v>
      </c>
      <c r="C327" s="30" t="s">
        <v>1009</v>
      </c>
      <c r="D327" s="30" t="s">
        <v>999</v>
      </c>
      <c r="E327" s="30" t="s">
        <v>1010</v>
      </c>
      <c r="F327" s="30" t="s">
        <v>1001</v>
      </c>
      <c r="G327" s="30" t="s">
        <v>1002</v>
      </c>
      <c r="H327" s="30" t="s">
        <v>1003</v>
      </c>
      <c r="I327" s="30" t="n">
        <v>1</v>
      </c>
      <c r="J327" s="30"/>
      <c r="K327" s="30" t="n">
        <v>80</v>
      </c>
      <c r="L327" s="30" t="n">
        <v>5.5</v>
      </c>
      <c r="M327" s="30" t="s">
        <v>1015</v>
      </c>
      <c r="N327" s="30" t="s">
        <v>54</v>
      </c>
      <c r="O327" s="30"/>
      <c r="P327" s="30"/>
      <c r="Q327" s="30"/>
      <c r="R327" s="30"/>
      <c r="S327" s="30"/>
      <c r="T327" s="30"/>
      <c r="U327" s="30" t="n">
        <v>778.35</v>
      </c>
      <c r="V327" s="30" t="n">
        <v>836.48</v>
      </c>
      <c r="W327" s="30" t="n">
        <v>110.32</v>
      </c>
      <c r="X327" s="30" t="s">
        <v>1005</v>
      </c>
      <c r="Y327" s="30" t="n">
        <v>112.29</v>
      </c>
      <c r="Z327" s="30" t="s">
        <v>1005</v>
      </c>
      <c r="AA327" s="30" t="n">
        <v>157.61</v>
      </c>
      <c r="AB327" s="30" t="s">
        <v>1005</v>
      </c>
      <c r="AC327" s="30" t="n">
        <v>78.31</v>
      </c>
      <c r="AD327" s="30" t="s">
        <v>1005</v>
      </c>
      <c r="AE327" s="30" t="n">
        <v>32.03</v>
      </c>
      <c r="AF327" s="30" t="s">
        <v>1005</v>
      </c>
      <c r="AG327" s="30" t="n">
        <v>0</v>
      </c>
      <c r="AH327" s="30" t="s">
        <v>1006</v>
      </c>
      <c r="AI327" s="30" t="n">
        <v>0</v>
      </c>
      <c r="AJ327" s="30" t="s">
        <v>1006</v>
      </c>
      <c r="AK327" s="30" t="n">
        <v>0</v>
      </c>
      <c r="AL327" s="30" t="s">
        <v>1006</v>
      </c>
      <c r="AM327" s="30" t="n">
        <v>0</v>
      </c>
      <c r="AN327" s="30"/>
      <c r="AO327" s="30" t="n">
        <v>72.63</v>
      </c>
      <c r="AP327" s="30" t="s">
        <v>1005</v>
      </c>
      <c r="AQ327" s="30" t="n">
        <v>85.29</v>
      </c>
      <c r="AR327" s="30" t="s">
        <v>1005</v>
      </c>
      <c r="AS327" s="30" t="n">
        <v>102</v>
      </c>
      <c r="AT327" s="30" t="s">
        <v>1005</v>
      </c>
      <c r="AU327" s="30" t="n">
        <v>750.48</v>
      </c>
      <c r="AV327" s="30" t="n">
        <v>0.48259</v>
      </c>
      <c r="AW327" s="30" t="s">
        <v>1016</v>
      </c>
      <c r="AX327" s="30" t="s">
        <v>1008</v>
      </c>
      <c r="AY327" s="30" t="n">
        <v>1</v>
      </c>
      <c r="AZ327" s="30"/>
    </row>
    <row collapsed="false" customFormat="true" customHeight="true" hidden="false" ht="33" outlineLevel="0" r="328" s="73">
      <c r="A328" s="30" t="n">
        <v>355</v>
      </c>
      <c r="B328" s="30" t="s">
        <v>524</v>
      </c>
      <c r="C328" s="30" t="s">
        <v>1009</v>
      </c>
      <c r="D328" s="30" t="s">
        <v>999</v>
      </c>
      <c r="E328" s="30" t="s">
        <v>1010</v>
      </c>
      <c r="F328" s="30" t="s">
        <v>1001</v>
      </c>
      <c r="G328" s="30" t="s">
        <v>1002</v>
      </c>
      <c r="H328" s="30" t="s">
        <v>1003</v>
      </c>
      <c r="I328" s="30" t="n">
        <v>1</v>
      </c>
      <c r="J328" s="30"/>
      <c r="K328" s="30" t="n">
        <v>80</v>
      </c>
      <c r="L328" s="30" t="n">
        <v>5.5</v>
      </c>
      <c r="M328" s="30" t="s">
        <v>1015</v>
      </c>
      <c r="N328" s="30" t="s">
        <v>54</v>
      </c>
      <c r="O328" s="30"/>
      <c r="P328" s="30"/>
      <c r="Q328" s="30"/>
      <c r="R328" s="30"/>
      <c r="S328" s="30"/>
      <c r="T328" s="30"/>
      <c r="U328" s="30" t="n">
        <v>1036.68</v>
      </c>
      <c r="V328" s="30" t="n">
        <v>1294.71</v>
      </c>
      <c r="W328" s="30" t="n">
        <v>127.85</v>
      </c>
      <c r="X328" s="30" t="s">
        <v>1006</v>
      </c>
      <c r="Y328" s="30" t="n">
        <v>127.85</v>
      </c>
      <c r="Z328" s="30" t="s">
        <v>1006</v>
      </c>
      <c r="AA328" s="30" t="n">
        <v>127.85</v>
      </c>
      <c r="AB328" s="30" t="s">
        <v>1006</v>
      </c>
      <c r="AC328" s="30" t="n">
        <v>127.85</v>
      </c>
      <c r="AD328" s="30" t="s">
        <v>1006</v>
      </c>
      <c r="AE328" s="30" t="n">
        <v>37.12</v>
      </c>
      <c r="AF328" s="30" t="s">
        <v>1006</v>
      </c>
      <c r="AG328" s="30" t="n">
        <v>0</v>
      </c>
      <c r="AH328" s="30" t="s">
        <v>1006</v>
      </c>
      <c r="AI328" s="30" t="n">
        <v>0</v>
      </c>
      <c r="AJ328" s="30" t="s">
        <v>1006</v>
      </c>
      <c r="AK328" s="30" t="n">
        <v>0</v>
      </c>
      <c r="AL328" s="30" t="s">
        <v>1006</v>
      </c>
      <c r="AM328" s="30" t="n">
        <v>32.03</v>
      </c>
      <c r="AN328" s="30" t="s">
        <v>1006</v>
      </c>
      <c r="AO328" s="30" t="n">
        <v>137.25</v>
      </c>
      <c r="AP328" s="30" t="s">
        <v>1005</v>
      </c>
      <c r="AQ328" s="30" t="n">
        <v>74.68</v>
      </c>
      <c r="AR328" s="30" t="s">
        <v>1005</v>
      </c>
      <c r="AS328" s="30" t="n">
        <v>137.54</v>
      </c>
      <c r="AT328" s="30" t="s">
        <v>1005</v>
      </c>
      <c r="AU328" s="30" t="n">
        <v>930.02</v>
      </c>
      <c r="AV328" s="30" t="n">
        <v>0.5464</v>
      </c>
      <c r="AW328" s="30" t="s">
        <v>1016</v>
      </c>
      <c r="AX328" s="30" t="s">
        <v>1008</v>
      </c>
      <c r="AY328" s="30" t="n">
        <v>4</v>
      </c>
      <c r="AZ328" s="30"/>
    </row>
    <row collapsed="false" customFormat="true" customHeight="true" hidden="false" ht="33" outlineLevel="0" r="329" s="73">
      <c r="A329" s="30" t="n">
        <v>356</v>
      </c>
      <c r="B329" s="30" t="s">
        <v>525</v>
      </c>
      <c r="C329" s="30" t="s">
        <v>1009</v>
      </c>
      <c r="D329" s="30" t="s">
        <v>999</v>
      </c>
      <c r="E329" s="30" t="s">
        <v>1010</v>
      </c>
      <c r="F329" s="30" t="s">
        <v>1001</v>
      </c>
      <c r="G329" s="30" t="s">
        <v>1002</v>
      </c>
      <c r="H329" s="30" t="s">
        <v>1003</v>
      </c>
      <c r="I329" s="30" t="n">
        <v>1</v>
      </c>
      <c r="J329" s="30"/>
      <c r="K329" s="30" t="n">
        <v>80</v>
      </c>
      <c r="L329" s="30" t="n">
        <v>5.5</v>
      </c>
      <c r="M329" s="30" t="s">
        <v>1015</v>
      </c>
      <c r="N329" s="30" t="s">
        <v>54</v>
      </c>
      <c r="O329" s="30"/>
      <c r="P329" s="30"/>
      <c r="Q329" s="30"/>
      <c r="R329" s="30"/>
      <c r="S329" s="30"/>
      <c r="T329" s="30"/>
      <c r="U329" s="30" t="n">
        <v>623.9</v>
      </c>
      <c r="V329" s="30" t="n">
        <v>744.39</v>
      </c>
      <c r="W329" s="30" t="n">
        <v>68.93</v>
      </c>
      <c r="X329" s="30" t="s">
        <v>1005</v>
      </c>
      <c r="Y329" s="30" t="n">
        <v>87.01</v>
      </c>
      <c r="Z329" s="30" t="s">
        <v>1005</v>
      </c>
      <c r="AA329" s="30" t="n">
        <v>111.38</v>
      </c>
      <c r="AB329" s="30" t="s">
        <v>1005</v>
      </c>
      <c r="AC329" s="30" t="n">
        <v>53.77</v>
      </c>
      <c r="AD329" s="30" t="s">
        <v>1005</v>
      </c>
      <c r="AE329" s="30" t="n">
        <v>20.01</v>
      </c>
      <c r="AF329" s="30" t="s">
        <v>1005</v>
      </c>
      <c r="AG329" s="30" t="n">
        <v>0</v>
      </c>
      <c r="AH329" s="30" t="s">
        <v>1006</v>
      </c>
      <c r="AI329" s="30" t="n">
        <v>0</v>
      </c>
      <c r="AJ329" s="30" t="s">
        <v>1006</v>
      </c>
      <c r="AK329" s="30" t="n">
        <v>0</v>
      </c>
      <c r="AL329" s="30" t="s">
        <v>1006</v>
      </c>
      <c r="AM329" s="30" t="n">
        <v>0</v>
      </c>
      <c r="AN329" s="30"/>
      <c r="AO329" s="30" t="n">
        <v>52.87</v>
      </c>
      <c r="AP329" s="30" t="s">
        <v>1005</v>
      </c>
      <c r="AQ329" s="30" t="n">
        <v>60.91</v>
      </c>
      <c r="AR329" s="30" t="s">
        <v>1005</v>
      </c>
      <c r="AS329" s="30" t="n">
        <v>79.5</v>
      </c>
      <c r="AT329" s="30" t="s">
        <v>1005</v>
      </c>
      <c r="AU329" s="30" t="n">
        <v>534.38</v>
      </c>
      <c r="AV329" s="30" t="n">
        <v>0.32808</v>
      </c>
      <c r="AW329" s="30" t="s">
        <v>1016</v>
      </c>
      <c r="AX329" s="30" t="s">
        <v>1008</v>
      </c>
      <c r="AY329" s="30" t="n">
        <v>1</v>
      </c>
      <c r="AZ329" s="30"/>
    </row>
    <row collapsed="false" customFormat="true" customHeight="true" hidden="false" ht="33" outlineLevel="0" r="330" s="73">
      <c r="A330" s="30" t="n">
        <v>357</v>
      </c>
      <c r="B330" s="30" t="s">
        <v>526</v>
      </c>
      <c r="C330" s="30" t="s">
        <v>1009</v>
      </c>
      <c r="D330" s="30" t="s">
        <v>999</v>
      </c>
      <c r="E330" s="30" t="s">
        <v>1010</v>
      </c>
      <c r="F330" s="30" t="s">
        <v>1001</v>
      </c>
      <c r="G330" s="30" t="s">
        <v>1002</v>
      </c>
      <c r="H330" s="30" t="s">
        <v>1003</v>
      </c>
      <c r="I330" s="30" t="n">
        <v>1</v>
      </c>
      <c r="J330" s="30"/>
      <c r="K330" s="30" t="n">
        <v>80</v>
      </c>
      <c r="L330" s="30" t="n">
        <v>5.5</v>
      </c>
      <c r="M330" s="30" t="s">
        <v>1015</v>
      </c>
      <c r="N330" s="30" t="s">
        <v>54</v>
      </c>
      <c r="O330" s="30"/>
      <c r="P330" s="30"/>
      <c r="Q330" s="30"/>
      <c r="R330" s="30"/>
      <c r="S330" s="30"/>
      <c r="T330" s="30"/>
      <c r="U330" s="30" t="n">
        <v>793.75</v>
      </c>
      <c r="V330" s="30" t="n">
        <v>1301.91</v>
      </c>
      <c r="W330" s="30" t="n">
        <v>133.74</v>
      </c>
      <c r="X330" s="30" t="s">
        <v>1005</v>
      </c>
      <c r="Y330" s="30" t="n">
        <v>141.58</v>
      </c>
      <c r="Z330" s="30" t="s">
        <v>1005</v>
      </c>
      <c r="AA330" s="30" t="n">
        <v>180.75</v>
      </c>
      <c r="AB330" s="30" t="s">
        <v>1005</v>
      </c>
      <c r="AC330" s="30" t="n">
        <v>92.01</v>
      </c>
      <c r="AD330" s="30" t="s">
        <v>1005</v>
      </c>
      <c r="AE330" s="30" t="n">
        <v>38.83</v>
      </c>
      <c r="AF330" s="30" t="s">
        <v>1005</v>
      </c>
      <c r="AG330" s="30" t="n">
        <v>0</v>
      </c>
      <c r="AH330" s="30" t="s">
        <v>1006</v>
      </c>
      <c r="AI330" s="30" t="n">
        <v>0</v>
      </c>
      <c r="AJ330" s="30" t="s">
        <v>1006</v>
      </c>
      <c r="AK330" s="30" t="n">
        <v>0</v>
      </c>
      <c r="AL330" s="30" t="s">
        <v>1006</v>
      </c>
      <c r="AM330" s="30" t="n">
        <v>0</v>
      </c>
      <c r="AN330" s="30"/>
      <c r="AO330" s="30" t="n">
        <v>85.69</v>
      </c>
      <c r="AP330" s="30" t="s">
        <v>1005</v>
      </c>
      <c r="AQ330" s="30" t="n">
        <v>102.98</v>
      </c>
      <c r="AR330" s="30" t="s">
        <v>1005</v>
      </c>
      <c r="AS330" s="30" t="n">
        <v>131.79</v>
      </c>
      <c r="AT330" s="30" t="s">
        <v>1005</v>
      </c>
      <c r="AU330" s="30" t="n">
        <v>907.37</v>
      </c>
      <c r="AV330" s="30" t="n">
        <v>0.4254</v>
      </c>
      <c r="AW330" s="30" t="s">
        <v>1016</v>
      </c>
      <c r="AX330" s="30" t="s">
        <v>1008</v>
      </c>
      <c r="AY330" s="30" t="n">
        <v>1</v>
      </c>
      <c r="AZ330" s="30"/>
    </row>
    <row collapsed="false" customFormat="true" customHeight="true" hidden="false" ht="33" outlineLevel="0" r="331" s="73">
      <c r="A331" s="30" t="n">
        <v>358</v>
      </c>
      <c r="B331" s="30" t="s">
        <v>527</v>
      </c>
      <c r="C331" s="30" t="s">
        <v>1009</v>
      </c>
      <c r="D331" s="30" t="s">
        <v>999</v>
      </c>
      <c r="E331" s="30" t="s">
        <v>1010</v>
      </c>
      <c r="F331" s="30" t="s">
        <v>1001</v>
      </c>
      <c r="G331" s="30" t="s">
        <v>1002</v>
      </c>
      <c r="H331" s="30" t="s">
        <v>1003</v>
      </c>
      <c r="I331" s="30" t="n">
        <v>1</v>
      </c>
      <c r="J331" s="30"/>
      <c r="K331" s="30" t="n">
        <v>80</v>
      </c>
      <c r="L331" s="30" t="n">
        <v>5.5</v>
      </c>
      <c r="M331" s="30" t="s">
        <v>1015</v>
      </c>
      <c r="N331" s="30" t="s">
        <v>54</v>
      </c>
      <c r="O331" s="30"/>
      <c r="P331" s="30"/>
      <c r="Q331" s="30"/>
      <c r="R331" s="30"/>
      <c r="S331" s="30"/>
      <c r="T331" s="30"/>
      <c r="U331" s="30" t="n">
        <v>672.71</v>
      </c>
      <c r="V331" s="30" t="n">
        <v>1138.24</v>
      </c>
      <c r="W331" s="30" t="n">
        <v>139.19</v>
      </c>
      <c r="X331" s="30" t="s">
        <v>1006</v>
      </c>
      <c r="Y331" s="30" t="n">
        <v>139.19</v>
      </c>
      <c r="Z331" s="30" t="s">
        <v>1006</v>
      </c>
      <c r="AA331" s="30" t="n">
        <v>139.19</v>
      </c>
      <c r="AB331" s="30" t="s">
        <v>1006</v>
      </c>
      <c r="AC331" s="30" t="n">
        <v>139.19</v>
      </c>
      <c r="AD331" s="30" t="s">
        <v>1006</v>
      </c>
      <c r="AE331" s="30" t="n">
        <v>40.41</v>
      </c>
      <c r="AF331" s="30" t="s">
        <v>1006</v>
      </c>
      <c r="AG331" s="30" t="n">
        <v>0</v>
      </c>
      <c r="AH331" s="30" t="s">
        <v>1006</v>
      </c>
      <c r="AI331" s="30" t="n">
        <v>0</v>
      </c>
      <c r="AJ331" s="30" t="s">
        <v>1006</v>
      </c>
      <c r="AK331" s="30" t="n">
        <v>0</v>
      </c>
      <c r="AL331" s="30" t="s">
        <v>1006</v>
      </c>
      <c r="AM331" s="30" t="n">
        <v>34.87</v>
      </c>
      <c r="AN331" s="30" t="s">
        <v>1006</v>
      </c>
      <c r="AO331" s="30" t="n">
        <v>149.43</v>
      </c>
      <c r="AP331" s="30" t="s">
        <v>1005</v>
      </c>
      <c r="AQ331" s="30" t="n">
        <v>55.15</v>
      </c>
      <c r="AR331" s="30" t="s">
        <v>1005</v>
      </c>
      <c r="AS331" s="30" t="n">
        <v>98.6</v>
      </c>
      <c r="AT331" s="30" t="s">
        <v>1005</v>
      </c>
      <c r="AU331" s="30" t="n">
        <v>935.22</v>
      </c>
      <c r="AV331" s="30" t="n">
        <v>0.37122</v>
      </c>
      <c r="AW331" s="30" t="s">
        <v>1016</v>
      </c>
      <c r="AX331" s="30" t="s">
        <v>1008</v>
      </c>
      <c r="AY331" s="30" t="n">
        <v>1</v>
      </c>
      <c r="AZ331" s="30"/>
    </row>
    <row collapsed="false" customFormat="true" customHeight="true" hidden="false" ht="33" outlineLevel="0" r="332" s="73">
      <c r="A332" s="30" t="n">
        <v>359</v>
      </c>
      <c r="B332" s="30" t="s">
        <v>528</v>
      </c>
      <c r="C332" s="30" t="s">
        <v>1009</v>
      </c>
      <c r="D332" s="30" t="s">
        <v>999</v>
      </c>
      <c r="E332" s="30" t="s">
        <v>1010</v>
      </c>
      <c r="F332" s="30" t="s">
        <v>1001</v>
      </c>
      <c r="G332" s="30" t="s">
        <v>1002</v>
      </c>
      <c r="H332" s="30" t="s">
        <v>1003</v>
      </c>
      <c r="I332" s="30" t="n">
        <v>1</v>
      </c>
      <c r="J332" s="30"/>
      <c r="K332" s="30" t="n">
        <v>80</v>
      </c>
      <c r="L332" s="30" t="n">
        <v>5.5</v>
      </c>
      <c r="M332" s="30" t="s">
        <v>1015</v>
      </c>
      <c r="N332" s="30" t="s">
        <v>53</v>
      </c>
      <c r="O332" s="30"/>
      <c r="P332" s="30"/>
      <c r="Q332" s="30"/>
      <c r="R332" s="30"/>
      <c r="S332" s="30"/>
      <c r="T332" s="30"/>
      <c r="U332" s="30" t="n">
        <v>806.08</v>
      </c>
      <c r="V332" s="30" t="n">
        <v>1007.68</v>
      </c>
      <c r="W332" s="30" t="n">
        <v>92.26</v>
      </c>
      <c r="X332" s="30" t="s">
        <v>1006</v>
      </c>
      <c r="Y332" s="30" t="n">
        <v>92.26</v>
      </c>
      <c r="Z332" s="30" t="s">
        <v>1006</v>
      </c>
      <c r="AA332" s="30" t="n">
        <v>92.26</v>
      </c>
      <c r="AB332" s="30" t="s">
        <v>1006</v>
      </c>
      <c r="AC332" s="30" t="n">
        <v>92.26</v>
      </c>
      <c r="AD332" s="30" t="s">
        <v>1006</v>
      </c>
      <c r="AE332" s="30" t="n">
        <v>26.79</v>
      </c>
      <c r="AF332" s="30" t="s">
        <v>1006</v>
      </c>
      <c r="AG332" s="30" t="n">
        <v>0</v>
      </c>
      <c r="AH332" s="30" t="s">
        <v>1006</v>
      </c>
      <c r="AI332" s="30" t="n">
        <v>0</v>
      </c>
      <c r="AJ332" s="30" t="s">
        <v>1006</v>
      </c>
      <c r="AK332" s="30" t="n">
        <v>0</v>
      </c>
      <c r="AL332" s="30" t="s">
        <v>1006</v>
      </c>
      <c r="AM332" s="30" t="n">
        <v>23.11</v>
      </c>
      <c r="AN332" s="30" t="s">
        <v>1006</v>
      </c>
      <c r="AO332" s="30" t="n">
        <v>99.04</v>
      </c>
      <c r="AP332" s="30" t="s">
        <v>1005</v>
      </c>
      <c r="AQ332" s="30" t="n">
        <v>42.06</v>
      </c>
      <c r="AR332" s="30" t="s">
        <v>1005</v>
      </c>
      <c r="AS332" s="30" t="n">
        <v>83.51</v>
      </c>
      <c r="AT332" s="30" t="s">
        <v>1005</v>
      </c>
      <c r="AU332" s="30" t="n">
        <v>643.55</v>
      </c>
      <c r="AV332" s="30" t="n">
        <v>0.54451</v>
      </c>
      <c r="AW332" s="30" t="s">
        <v>1016</v>
      </c>
      <c r="AX332" s="30" t="s">
        <v>1008</v>
      </c>
      <c r="AY332" s="30"/>
      <c r="AZ332" s="30"/>
    </row>
    <row collapsed="false" customFormat="true" customHeight="true" hidden="false" ht="33" outlineLevel="0" r="333" s="73">
      <c r="A333" s="30" t="n">
        <v>360</v>
      </c>
      <c r="B333" s="30" t="s">
        <v>530</v>
      </c>
      <c r="C333" s="30" t="s">
        <v>1009</v>
      </c>
      <c r="D333" s="30" t="s">
        <v>999</v>
      </c>
      <c r="E333" s="30" t="s">
        <v>1010</v>
      </c>
      <c r="F333" s="30" t="s">
        <v>1001</v>
      </c>
      <c r="G333" s="30" t="s">
        <v>1002</v>
      </c>
      <c r="H333" s="30" t="s">
        <v>1003</v>
      </c>
      <c r="I333" s="30" t="n">
        <v>1</v>
      </c>
      <c r="J333" s="30"/>
      <c r="K333" s="30" t="n">
        <v>80</v>
      </c>
      <c r="L333" s="30" t="n">
        <v>5.5</v>
      </c>
      <c r="M333" s="30" t="s">
        <v>1015</v>
      </c>
      <c r="N333" s="30" t="s">
        <v>53</v>
      </c>
      <c r="O333" s="30"/>
      <c r="P333" s="30"/>
      <c r="Q333" s="30"/>
      <c r="R333" s="30"/>
      <c r="S333" s="30"/>
      <c r="T333" s="30"/>
      <c r="U333" s="30" t="n">
        <v>783.18</v>
      </c>
      <c r="V333" s="30" t="n">
        <v>1241.36</v>
      </c>
      <c r="W333" s="30" t="n">
        <v>160.86</v>
      </c>
      <c r="X333" s="30" t="s">
        <v>1005</v>
      </c>
      <c r="Y333" s="30" t="n">
        <v>114.29</v>
      </c>
      <c r="Z333" s="30" t="s">
        <v>1005</v>
      </c>
      <c r="AA333" s="30" t="n">
        <v>152.52</v>
      </c>
      <c r="AB333" s="30" t="s">
        <v>1005</v>
      </c>
      <c r="AC333" s="30" t="n">
        <v>54.84</v>
      </c>
      <c r="AD333" s="30" t="s">
        <v>1005</v>
      </c>
      <c r="AE333" s="30" t="n">
        <v>46.7</v>
      </c>
      <c r="AF333" s="30" t="s">
        <v>1005</v>
      </c>
      <c r="AG333" s="30" t="n">
        <v>0</v>
      </c>
      <c r="AH333" s="30" t="s">
        <v>1006</v>
      </c>
      <c r="AI333" s="30" t="n">
        <v>0</v>
      </c>
      <c r="AJ333" s="30" t="s">
        <v>1006</v>
      </c>
      <c r="AK333" s="30" t="n">
        <v>0</v>
      </c>
      <c r="AL333" s="30" t="s">
        <v>1006</v>
      </c>
      <c r="AM333" s="30" t="n">
        <v>42.32</v>
      </c>
      <c r="AN333" s="30" t="s">
        <v>1006</v>
      </c>
      <c r="AO333" s="30" t="n">
        <v>181.36</v>
      </c>
      <c r="AP333" s="30" t="s">
        <v>1005</v>
      </c>
      <c r="AQ333" s="30" t="n">
        <v>48.04</v>
      </c>
      <c r="AR333" s="30" t="s">
        <v>1005</v>
      </c>
      <c r="AS333" s="30" t="n">
        <v>87.98</v>
      </c>
      <c r="AT333" s="30" t="s">
        <v>1005</v>
      </c>
      <c r="AU333" s="30" t="n">
        <v>888.91</v>
      </c>
      <c r="AV333" s="30" t="n">
        <v>0.52046</v>
      </c>
      <c r="AW333" s="30" t="s">
        <v>1016</v>
      </c>
      <c r="AX333" s="30" t="s">
        <v>1008</v>
      </c>
      <c r="AY333" s="30" t="n">
        <v>1</v>
      </c>
      <c r="AZ333" s="30"/>
    </row>
    <row collapsed="false" customFormat="true" customHeight="true" hidden="false" ht="33" outlineLevel="0" r="334" s="73">
      <c r="A334" s="30" t="n">
        <v>361</v>
      </c>
      <c r="B334" s="30" t="s">
        <v>531</v>
      </c>
      <c r="C334" s="30" t="s">
        <v>1009</v>
      </c>
      <c r="D334" s="30" t="s">
        <v>999</v>
      </c>
      <c r="E334" s="30" t="s">
        <v>1010</v>
      </c>
      <c r="F334" s="30" t="s">
        <v>1001</v>
      </c>
      <c r="G334" s="30" t="s">
        <v>1002</v>
      </c>
      <c r="H334" s="30" t="s">
        <v>1003</v>
      </c>
      <c r="I334" s="30" t="n">
        <v>2</v>
      </c>
      <c r="J334" s="30"/>
      <c r="K334" s="30" t="n">
        <v>80</v>
      </c>
      <c r="L334" s="30" t="n">
        <v>5.5</v>
      </c>
      <c r="M334" s="30" t="s">
        <v>1015</v>
      </c>
      <c r="N334" s="30" t="s">
        <v>54</v>
      </c>
      <c r="O334" s="30"/>
      <c r="P334" s="30"/>
      <c r="Q334" s="30"/>
      <c r="R334" s="30"/>
      <c r="S334" s="30"/>
      <c r="T334" s="30"/>
      <c r="U334" s="30" t="n">
        <v>1115.57</v>
      </c>
      <c r="V334" s="30" t="n">
        <v>1136.94</v>
      </c>
      <c r="W334" s="30" t="n">
        <v>248.73</v>
      </c>
      <c r="X334" s="30" t="s">
        <v>1005</v>
      </c>
      <c r="Y334" s="30" t="n">
        <v>160.26</v>
      </c>
      <c r="Z334" s="30" t="s">
        <v>1005</v>
      </c>
      <c r="AA334" s="30" t="n">
        <v>217.96</v>
      </c>
      <c r="AB334" s="30" t="s">
        <v>1005</v>
      </c>
      <c r="AC334" s="30" t="n">
        <v>103.18</v>
      </c>
      <c r="AD334" s="30" t="s">
        <v>1005</v>
      </c>
      <c r="AE334" s="30" t="n">
        <v>39.1</v>
      </c>
      <c r="AF334" s="30" t="s">
        <v>1005</v>
      </c>
      <c r="AG334" s="30" t="n">
        <v>0</v>
      </c>
      <c r="AH334" s="30" t="s">
        <v>1006</v>
      </c>
      <c r="AI334" s="30" t="n">
        <v>0</v>
      </c>
      <c r="AJ334" s="30" t="s">
        <v>1006</v>
      </c>
      <c r="AK334" s="30" t="n">
        <v>0</v>
      </c>
      <c r="AL334" s="30" t="s">
        <v>1006</v>
      </c>
      <c r="AM334" s="30" t="n">
        <v>0</v>
      </c>
      <c r="AN334" s="30"/>
      <c r="AO334" s="30" t="n">
        <v>100.11</v>
      </c>
      <c r="AP334" s="30" t="s">
        <v>1005</v>
      </c>
      <c r="AQ334" s="30" t="n">
        <v>115.17</v>
      </c>
      <c r="AR334" s="30" t="s">
        <v>1005</v>
      </c>
      <c r="AS334" s="30" t="n">
        <v>140.18</v>
      </c>
      <c r="AT334" s="30" t="s">
        <v>1005</v>
      </c>
      <c r="AU334" s="30" t="n">
        <v>1124.69</v>
      </c>
      <c r="AV334" s="30" t="n">
        <v>0.62105</v>
      </c>
      <c r="AW334" s="30" t="s">
        <v>1016</v>
      </c>
      <c r="AX334" s="30" t="s">
        <v>1008</v>
      </c>
      <c r="AY334" s="30" t="n">
        <v>1</v>
      </c>
      <c r="AZ334" s="30"/>
    </row>
    <row collapsed="false" customFormat="true" customHeight="true" hidden="false" ht="33" outlineLevel="0" r="335" s="73">
      <c r="A335" s="30" t="n">
        <v>362</v>
      </c>
      <c r="B335" s="30" t="s">
        <v>532</v>
      </c>
      <c r="C335" s="30" t="s">
        <v>1009</v>
      </c>
      <c r="D335" s="30" t="s">
        <v>999</v>
      </c>
      <c r="E335" s="30" t="s">
        <v>1010</v>
      </c>
      <c r="F335" s="30" t="s">
        <v>1001</v>
      </c>
      <c r="G335" s="30" t="s">
        <v>1002</v>
      </c>
      <c r="H335" s="30" t="s">
        <v>1003</v>
      </c>
      <c r="I335" s="30" t="n">
        <v>1</v>
      </c>
      <c r="J335" s="30"/>
      <c r="K335" s="30" t="n">
        <v>80</v>
      </c>
      <c r="L335" s="30" t="n">
        <v>5.5</v>
      </c>
      <c r="M335" s="30" t="s">
        <v>1015</v>
      </c>
      <c r="N335" s="30" t="s">
        <v>53</v>
      </c>
      <c r="O335" s="30"/>
      <c r="P335" s="30"/>
      <c r="Q335" s="30"/>
      <c r="R335" s="30"/>
      <c r="S335" s="30"/>
      <c r="T335" s="30"/>
      <c r="U335" s="30" t="n">
        <v>612.49</v>
      </c>
      <c r="V335" s="30" t="n">
        <v>826.36</v>
      </c>
      <c r="W335" s="30" t="n">
        <v>85.46</v>
      </c>
      <c r="X335" s="30" t="s">
        <v>1006</v>
      </c>
      <c r="Y335" s="30" t="n">
        <v>85.46</v>
      </c>
      <c r="Z335" s="30" t="s">
        <v>1006</v>
      </c>
      <c r="AA335" s="30" t="n">
        <v>85.46</v>
      </c>
      <c r="AB335" s="30" t="s">
        <v>1006</v>
      </c>
      <c r="AC335" s="30" t="n">
        <v>85.46</v>
      </c>
      <c r="AD335" s="30" t="s">
        <v>1006</v>
      </c>
      <c r="AE335" s="30" t="n">
        <v>24.81</v>
      </c>
      <c r="AF335" s="30" t="s">
        <v>1006</v>
      </c>
      <c r="AG335" s="30" t="n">
        <v>0</v>
      </c>
      <c r="AH335" s="30" t="s">
        <v>1006</v>
      </c>
      <c r="AI335" s="30" t="n">
        <v>0</v>
      </c>
      <c r="AJ335" s="30" t="s">
        <v>1006</v>
      </c>
      <c r="AK335" s="30" t="n">
        <v>0</v>
      </c>
      <c r="AL335" s="30" t="s">
        <v>1006</v>
      </c>
      <c r="AM335" s="30" t="n">
        <v>21.4</v>
      </c>
      <c r="AN335" s="30" t="s">
        <v>1006</v>
      </c>
      <c r="AO335" s="30" t="n">
        <v>36.02</v>
      </c>
      <c r="AP335" s="30" t="s">
        <v>1005</v>
      </c>
      <c r="AQ335" s="30" t="n">
        <v>58.71</v>
      </c>
      <c r="AR335" s="30" t="s">
        <v>1005</v>
      </c>
      <c r="AS335" s="30" t="n">
        <v>70.79</v>
      </c>
      <c r="AT335" s="30" t="s">
        <v>1005</v>
      </c>
      <c r="AU335" s="30" t="n">
        <v>553.57</v>
      </c>
      <c r="AV335" s="30" t="n">
        <v>0.39814</v>
      </c>
      <c r="AW335" s="30" t="s">
        <v>1016</v>
      </c>
      <c r="AX335" s="30" t="s">
        <v>1008</v>
      </c>
      <c r="AY335" s="30" t="n">
        <v>1</v>
      </c>
      <c r="AZ335" s="30"/>
    </row>
    <row collapsed="false" customFormat="true" customHeight="true" hidden="false" ht="33" outlineLevel="0" r="336" s="73">
      <c r="A336" s="30" t="n">
        <v>363</v>
      </c>
      <c r="B336" s="30" t="s">
        <v>533</v>
      </c>
      <c r="C336" s="30" t="s">
        <v>1009</v>
      </c>
      <c r="D336" s="30" t="s">
        <v>999</v>
      </c>
      <c r="E336" s="30" t="s">
        <v>1010</v>
      </c>
      <c r="F336" s="30" t="s">
        <v>1001</v>
      </c>
      <c r="G336" s="30" t="s">
        <v>1002</v>
      </c>
      <c r="H336" s="30" t="s">
        <v>1003</v>
      </c>
      <c r="I336" s="30" t="n">
        <v>1</v>
      </c>
      <c r="J336" s="30"/>
      <c r="K336" s="30" t="n">
        <v>80</v>
      </c>
      <c r="L336" s="30" t="n">
        <v>5.5</v>
      </c>
      <c r="M336" s="30" t="s">
        <v>1015</v>
      </c>
      <c r="N336" s="30" t="s">
        <v>53</v>
      </c>
      <c r="O336" s="30"/>
      <c r="P336" s="30"/>
      <c r="Q336" s="30"/>
      <c r="R336" s="30"/>
      <c r="S336" s="30"/>
      <c r="T336" s="30"/>
      <c r="U336" s="30" t="n">
        <v>1716.87</v>
      </c>
      <c r="V336" s="30" t="n">
        <v>2820.15</v>
      </c>
      <c r="W336" s="30" t="n">
        <v>287.98</v>
      </c>
      <c r="X336" s="30" t="s">
        <v>1006</v>
      </c>
      <c r="Y336" s="30" t="n">
        <v>287.98</v>
      </c>
      <c r="Z336" s="30" t="s">
        <v>1006</v>
      </c>
      <c r="AA336" s="30" t="n">
        <v>287.98</v>
      </c>
      <c r="AB336" s="30" t="s">
        <v>1006</v>
      </c>
      <c r="AC336" s="30" t="n">
        <v>287.98</v>
      </c>
      <c r="AD336" s="30" t="s">
        <v>1006</v>
      </c>
      <c r="AE336" s="30" t="n">
        <v>83.61</v>
      </c>
      <c r="AF336" s="30" t="s">
        <v>1006</v>
      </c>
      <c r="AG336" s="30" t="n">
        <v>0</v>
      </c>
      <c r="AH336" s="30" t="s">
        <v>1006</v>
      </c>
      <c r="AI336" s="30" t="n">
        <v>0</v>
      </c>
      <c r="AJ336" s="30" t="s">
        <v>1006</v>
      </c>
      <c r="AK336" s="30" t="n">
        <v>0</v>
      </c>
      <c r="AL336" s="30" t="s">
        <v>1006</v>
      </c>
      <c r="AM336" s="30" t="n">
        <v>72.11</v>
      </c>
      <c r="AN336" s="30" t="s">
        <v>1006</v>
      </c>
      <c r="AO336" s="30" t="n">
        <v>309.05</v>
      </c>
      <c r="AP336" s="30" t="s">
        <v>1005</v>
      </c>
      <c r="AQ336" s="30" t="n">
        <v>189.5</v>
      </c>
      <c r="AR336" s="30" t="s">
        <v>1005</v>
      </c>
      <c r="AS336" s="30" t="n">
        <v>238.55</v>
      </c>
      <c r="AT336" s="30" t="s">
        <v>1005</v>
      </c>
      <c r="AU336" s="30" t="n">
        <v>2044.74</v>
      </c>
      <c r="AV336" s="30" t="n">
        <v>1.176988</v>
      </c>
      <c r="AW336" s="30" t="s">
        <v>1016</v>
      </c>
      <c r="AX336" s="30" t="s">
        <v>1008</v>
      </c>
      <c r="AY336" s="30" t="n">
        <v>2</v>
      </c>
      <c r="AZ336" s="30"/>
    </row>
    <row collapsed="false" customFormat="true" customHeight="true" hidden="false" ht="33" outlineLevel="0" r="337" s="73">
      <c r="A337" s="30" t="n">
        <v>364</v>
      </c>
      <c r="B337" s="30" t="s">
        <v>534</v>
      </c>
      <c r="C337" s="30" t="s">
        <v>1009</v>
      </c>
      <c r="D337" s="30" t="s">
        <v>999</v>
      </c>
      <c r="E337" s="30" t="s">
        <v>1010</v>
      </c>
      <c r="F337" s="30" t="s">
        <v>1001</v>
      </c>
      <c r="G337" s="30" t="s">
        <v>1002</v>
      </c>
      <c r="H337" s="30" t="s">
        <v>1003</v>
      </c>
      <c r="I337" s="30" t="n">
        <v>4</v>
      </c>
      <c r="J337" s="30"/>
      <c r="K337" s="30" t="n">
        <v>80</v>
      </c>
      <c r="L337" s="30" t="n">
        <v>5.5</v>
      </c>
      <c r="M337" s="30" t="s">
        <v>1015</v>
      </c>
      <c r="N337" s="30" t="s">
        <v>53</v>
      </c>
      <c r="O337" s="30"/>
      <c r="P337" s="30"/>
      <c r="Q337" s="30"/>
      <c r="R337" s="30"/>
      <c r="S337" s="30"/>
      <c r="T337" s="30"/>
      <c r="U337" s="30" t="n">
        <v>3005.94</v>
      </c>
      <c r="V337" s="30" t="n">
        <v>3644.496</v>
      </c>
      <c r="W337" s="30" t="n">
        <v>328.86</v>
      </c>
      <c r="X337" s="30" t="s">
        <v>1006</v>
      </c>
      <c r="Y337" s="30" t="n">
        <v>328.86</v>
      </c>
      <c r="Z337" s="30" t="s">
        <v>1006</v>
      </c>
      <c r="AA337" s="30" t="n">
        <v>328.86</v>
      </c>
      <c r="AB337" s="30" t="s">
        <v>1006</v>
      </c>
      <c r="AC337" s="30" t="n">
        <v>328.86</v>
      </c>
      <c r="AD337" s="30" t="s">
        <v>1006</v>
      </c>
      <c r="AE337" s="30" t="n">
        <v>95.46</v>
      </c>
      <c r="AF337" s="30" t="s">
        <v>1006</v>
      </c>
      <c r="AG337" s="30" t="n">
        <v>0</v>
      </c>
      <c r="AH337" s="30" t="s">
        <v>1006</v>
      </c>
      <c r="AI337" s="30" t="n">
        <v>0</v>
      </c>
      <c r="AJ337" s="30" t="s">
        <v>1006</v>
      </c>
      <c r="AK337" s="30" t="n">
        <v>0</v>
      </c>
      <c r="AL337" s="30" t="s">
        <v>1006</v>
      </c>
      <c r="AM337" s="30" t="n">
        <v>70.59</v>
      </c>
      <c r="AN337" s="30" t="s">
        <v>1006</v>
      </c>
      <c r="AO337" s="30" t="n">
        <v>304.02</v>
      </c>
      <c r="AP337" s="30" t="s">
        <v>1005</v>
      </c>
      <c r="AQ337" s="30" t="n">
        <v>278.36</v>
      </c>
      <c r="AR337" s="30" t="s">
        <v>1005</v>
      </c>
      <c r="AS337" s="30" t="n">
        <v>242.27</v>
      </c>
      <c r="AT337" s="30" t="s">
        <v>1005</v>
      </c>
      <c r="AU337" s="30" t="n">
        <v>2306.14</v>
      </c>
      <c r="AV337" s="30" t="n">
        <v>1.866851</v>
      </c>
      <c r="AW337" s="30" t="s">
        <v>1016</v>
      </c>
      <c r="AX337" s="30" t="s">
        <v>1008</v>
      </c>
      <c r="AY337" s="30" t="n">
        <v>4</v>
      </c>
      <c r="AZ337" s="30"/>
    </row>
    <row collapsed="false" customFormat="true" customHeight="true" hidden="false" ht="33" outlineLevel="0" r="338" s="73">
      <c r="A338" s="30" t="n">
        <v>365</v>
      </c>
      <c r="B338" s="30" t="s">
        <v>535</v>
      </c>
      <c r="C338" s="30" t="s">
        <v>1009</v>
      </c>
      <c r="D338" s="30" t="s">
        <v>999</v>
      </c>
      <c r="E338" s="30" t="s">
        <v>1010</v>
      </c>
      <c r="F338" s="30" t="s">
        <v>1001</v>
      </c>
      <c r="G338" s="30" t="s">
        <v>1002</v>
      </c>
      <c r="H338" s="30" t="s">
        <v>1003</v>
      </c>
      <c r="I338" s="30" t="n">
        <v>4</v>
      </c>
      <c r="J338" s="30"/>
      <c r="K338" s="30" t="n">
        <v>80</v>
      </c>
      <c r="L338" s="30" t="n">
        <v>5.5</v>
      </c>
      <c r="M338" s="30" t="s">
        <v>1015</v>
      </c>
      <c r="N338" s="30" t="s">
        <v>53</v>
      </c>
      <c r="O338" s="30"/>
      <c r="P338" s="30"/>
      <c r="Q338" s="30"/>
      <c r="R338" s="30"/>
      <c r="S338" s="30"/>
      <c r="T338" s="30"/>
      <c r="U338" s="30" t="n">
        <v>3739.21</v>
      </c>
      <c r="V338" s="30" t="n">
        <v>4408.16</v>
      </c>
      <c r="W338" s="30" t="n">
        <v>407.27</v>
      </c>
      <c r="X338" s="30" t="s">
        <v>1006</v>
      </c>
      <c r="Y338" s="30" t="n">
        <v>407.27</v>
      </c>
      <c r="Z338" s="30" t="s">
        <v>1006</v>
      </c>
      <c r="AA338" s="30" t="n">
        <v>407.27</v>
      </c>
      <c r="AB338" s="30" t="s">
        <v>1006</v>
      </c>
      <c r="AC338" s="30" t="n">
        <v>407.27</v>
      </c>
      <c r="AD338" s="30" t="s">
        <v>1006</v>
      </c>
      <c r="AE338" s="30" t="n">
        <v>118.23</v>
      </c>
      <c r="AF338" s="30" t="s">
        <v>1006</v>
      </c>
      <c r="AG338" s="30" t="n">
        <v>0</v>
      </c>
      <c r="AH338" s="30" t="s">
        <v>1006</v>
      </c>
      <c r="AI338" s="30" t="n">
        <v>0</v>
      </c>
      <c r="AJ338" s="30" t="s">
        <v>1006</v>
      </c>
      <c r="AK338" s="30" t="n">
        <v>0</v>
      </c>
      <c r="AL338" s="30" t="s">
        <v>1006</v>
      </c>
      <c r="AM338" s="30" t="n">
        <v>87.4</v>
      </c>
      <c r="AN338" s="30" t="s">
        <v>1006</v>
      </c>
      <c r="AO338" s="30" t="n">
        <v>169.84</v>
      </c>
      <c r="AP338" s="30" t="s">
        <v>1005</v>
      </c>
      <c r="AQ338" s="30" t="n">
        <v>270.92</v>
      </c>
      <c r="AR338" s="30" t="s">
        <v>1005</v>
      </c>
      <c r="AS338" s="30" t="n">
        <v>330.42</v>
      </c>
      <c r="AT338" s="30" t="s">
        <v>1005</v>
      </c>
      <c r="AU338" s="30" t="n">
        <v>2605.89</v>
      </c>
      <c r="AV338" s="30" t="n">
        <v>2.313214</v>
      </c>
      <c r="AW338" s="30" t="s">
        <v>1016</v>
      </c>
      <c r="AX338" s="30" t="s">
        <v>1008</v>
      </c>
      <c r="AY338" s="30" t="n">
        <v>4</v>
      </c>
      <c r="AZ338" s="30"/>
    </row>
    <row collapsed="false" customFormat="true" customHeight="true" hidden="false" ht="33" outlineLevel="0" r="339" s="73">
      <c r="A339" s="30" t="n">
        <v>366</v>
      </c>
      <c r="B339" s="30" t="s">
        <v>537</v>
      </c>
      <c r="C339" s="30" t="s">
        <v>1009</v>
      </c>
      <c r="D339" s="30" t="s">
        <v>999</v>
      </c>
      <c r="E339" s="30" t="s">
        <v>1000</v>
      </c>
      <c r="F339" s="30" t="s">
        <v>1014</v>
      </c>
      <c r="G339" s="30" t="s">
        <v>1002</v>
      </c>
      <c r="H339" s="30" t="s">
        <v>1003</v>
      </c>
      <c r="I339" s="30" t="n">
        <v>0</v>
      </c>
      <c r="J339" s="30"/>
      <c r="K339" s="30" t="n">
        <v>50</v>
      </c>
      <c r="L339" s="30" t="n">
        <v>7</v>
      </c>
      <c r="M339" s="30" t="s">
        <v>1004</v>
      </c>
      <c r="N339" s="30" t="s">
        <v>54</v>
      </c>
      <c r="O339" s="30"/>
      <c r="P339" s="30"/>
      <c r="Q339" s="30"/>
      <c r="R339" s="30"/>
      <c r="S339" s="30"/>
      <c r="T339" s="30"/>
      <c r="U339" s="30" t="n">
        <v>320.71</v>
      </c>
      <c r="V339" s="30" t="n">
        <v>346.31</v>
      </c>
      <c r="W339" s="30"/>
      <c r="X339" s="30" t="s">
        <v>1006</v>
      </c>
      <c r="Y339" s="30"/>
      <c r="Z339" s="30" t="s">
        <v>1006</v>
      </c>
      <c r="AA339" s="30"/>
      <c r="AB339" s="30" t="s">
        <v>1006</v>
      </c>
      <c r="AC339" s="30"/>
      <c r="AD339" s="30" t="s">
        <v>1006</v>
      </c>
      <c r="AE339" s="30"/>
      <c r="AF339" s="30" t="s">
        <v>1006</v>
      </c>
      <c r="AG339" s="30" t="n">
        <v>0</v>
      </c>
      <c r="AH339" s="30" t="s">
        <v>1006</v>
      </c>
      <c r="AI339" s="30" t="n">
        <v>0</v>
      </c>
      <c r="AJ339" s="30" t="s">
        <v>1006</v>
      </c>
      <c r="AK339" s="30" t="n">
        <v>0</v>
      </c>
      <c r="AL339" s="30" t="s">
        <v>1006</v>
      </c>
      <c r="AM339" s="30" t="n">
        <v>8.63</v>
      </c>
      <c r="AN339" s="30" t="s">
        <v>1006</v>
      </c>
      <c r="AO339" s="30" t="n">
        <v>37</v>
      </c>
      <c r="AP339" s="30" t="s">
        <v>1006</v>
      </c>
      <c r="AQ339" s="30" t="n">
        <v>37</v>
      </c>
      <c r="AR339" s="30" t="s">
        <v>1006</v>
      </c>
      <c r="AS339" s="30" t="n">
        <v>37</v>
      </c>
      <c r="AT339" s="30" t="s">
        <v>1006</v>
      </c>
      <c r="AU339" s="30" t="n">
        <v>119.63</v>
      </c>
      <c r="AV339" s="30" t="n">
        <v>0.14548</v>
      </c>
      <c r="AW339" s="30" t="s">
        <v>1007</v>
      </c>
      <c r="AX339" s="30" t="s">
        <v>1008</v>
      </c>
      <c r="AY339" s="30" t="n">
        <v>1</v>
      </c>
      <c r="AZ339" s="30"/>
    </row>
    <row collapsed="false" customFormat="true" customHeight="true" hidden="false" ht="33" outlineLevel="0" r="340" s="73">
      <c r="A340" s="30" t="n">
        <v>367</v>
      </c>
      <c r="B340" s="30" t="s">
        <v>538</v>
      </c>
      <c r="C340" s="30" t="s">
        <v>1009</v>
      </c>
      <c r="D340" s="30" t="s">
        <v>999</v>
      </c>
      <c r="E340" s="30" t="s">
        <v>1000</v>
      </c>
      <c r="F340" s="30" t="s">
        <v>1014</v>
      </c>
      <c r="G340" s="30" t="s">
        <v>1002</v>
      </c>
      <c r="H340" s="30" t="s">
        <v>1003</v>
      </c>
      <c r="I340" s="30" t="n">
        <v>0</v>
      </c>
      <c r="J340" s="30"/>
      <c r="K340" s="30" t="n">
        <v>50</v>
      </c>
      <c r="L340" s="30" t="n">
        <v>7</v>
      </c>
      <c r="M340" s="30" t="s">
        <v>1004</v>
      </c>
      <c r="N340" s="30" t="s">
        <v>54</v>
      </c>
      <c r="O340" s="30"/>
      <c r="P340" s="30"/>
      <c r="Q340" s="30"/>
      <c r="R340" s="30"/>
      <c r="S340" s="30"/>
      <c r="T340" s="30"/>
      <c r="U340" s="30" t="n">
        <v>221.19</v>
      </c>
      <c r="V340" s="30" t="n">
        <v>219.35</v>
      </c>
      <c r="W340" s="30"/>
      <c r="X340" s="30" t="s">
        <v>1006</v>
      </c>
      <c r="Y340" s="30"/>
      <c r="Z340" s="30" t="s">
        <v>1006</v>
      </c>
      <c r="AA340" s="30"/>
      <c r="AB340" s="30" t="s">
        <v>1006</v>
      </c>
      <c r="AC340" s="30"/>
      <c r="AD340" s="30" t="s">
        <v>1006</v>
      </c>
      <c r="AE340" s="30"/>
      <c r="AF340" s="30" t="s">
        <v>1006</v>
      </c>
      <c r="AG340" s="30" t="n">
        <v>0</v>
      </c>
      <c r="AH340" s="30" t="s">
        <v>1006</v>
      </c>
      <c r="AI340" s="30" t="n">
        <v>0</v>
      </c>
      <c r="AJ340" s="30" t="s">
        <v>1006</v>
      </c>
      <c r="AK340" s="30" t="n">
        <v>0</v>
      </c>
      <c r="AL340" s="30" t="s">
        <v>1006</v>
      </c>
      <c r="AM340" s="30" t="n">
        <v>5.15</v>
      </c>
      <c r="AN340" s="30" t="s">
        <v>1006</v>
      </c>
      <c r="AO340" s="30" t="n">
        <v>22.08</v>
      </c>
      <c r="AP340" s="30" t="s">
        <v>1006</v>
      </c>
      <c r="AQ340" s="30" t="n">
        <v>22.08</v>
      </c>
      <c r="AR340" s="30" t="s">
        <v>1006</v>
      </c>
      <c r="AS340" s="30" t="n">
        <v>22.08</v>
      </c>
      <c r="AT340" s="30" t="s">
        <v>1006</v>
      </c>
      <c r="AU340" s="30" t="n">
        <v>71.39</v>
      </c>
      <c r="AV340" s="30" t="n">
        <v>0.10033</v>
      </c>
      <c r="AW340" s="30" t="s">
        <v>1007</v>
      </c>
      <c r="AX340" s="30" t="s">
        <v>1008</v>
      </c>
      <c r="AY340" s="30" t="n">
        <v>1</v>
      </c>
      <c r="AZ340" s="30"/>
    </row>
    <row collapsed="false" customFormat="true" customHeight="true" hidden="false" ht="33" outlineLevel="0" r="341" s="73">
      <c r="A341" s="30" t="n">
        <v>368</v>
      </c>
      <c r="B341" s="30" t="s">
        <v>539</v>
      </c>
      <c r="C341" s="30" t="s">
        <v>1009</v>
      </c>
      <c r="D341" s="30" t="s">
        <v>999</v>
      </c>
      <c r="E341" s="30" t="s">
        <v>1000</v>
      </c>
      <c r="F341" s="30" t="s">
        <v>1014</v>
      </c>
      <c r="G341" s="30" t="s">
        <v>1002</v>
      </c>
      <c r="H341" s="30" t="s">
        <v>1003</v>
      </c>
      <c r="I341" s="30" t="n">
        <v>0</v>
      </c>
      <c r="J341" s="30"/>
      <c r="K341" s="30" t="n">
        <v>50</v>
      </c>
      <c r="L341" s="30" t="n">
        <v>7</v>
      </c>
      <c r="M341" s="30" t="s">
        <v>1004</v>
      </c>
      <c r="N341" s="30" t="s">
        <v>54</v>
      </c>
      <c r="O341" s="30"/>
      <c r="P341" s="30"/>
      <c r="Q341" s="30"/>
      <c r="R341" s="30"/>
      <c r="S341" s="30"/>
      <c r="T341" s="30"/>
      <c r="U341" s="30" t="n">
        <v>221.19</v>
      </c>
      <c r="V341" s="30" t="n">
        <v>218.24</v>
      </c>
      <c r="W341" s="30"/>
      <c r="X341" s="30" t="s">
        <v>1006</v>
      </c>
      <c r="Y341" s="30"/>
      <c r="Z341" s="30" t="s">
        <v>1006</v>
      </c>
      <c r="AA341" s="30"/>
      <c r="AB341" s="30" t="s">
        <v>1006</v>
      </c>
      <c r="AC341" s="30"/>
      <c r="AD341" s="30" t="s">
        <v>1006</v>
      </c>
      <c r="AE341" s="30"/>
      <c r="AF341" s="30" t="s">
        <v>1006</v>
      </c>
      <c r="AG341" s="30" t="n">
        <v>0</v>
      </c>
      <c r="AH341" s="30" t="s">
        <v>1006</v>
      </c>
      <c r="AI341" s="30" t="n">
        <v>0</v>
      </c>
      <c r="AJ341" s="30" t="s">
        <v>1006</v>
      </c>
      <c r="AK341" s="30" t="n">
        <v>0</v>
      </c>
      <c r="AL341" s="30" t="s">
        <v>1006</v>
      </c>
      <c r="AM341" s="30" t="n">
        <v>5.29</v>
      </c>
      <c r="AN341" s="30" t="s">
        <v>1006</v>
      </c>
      <c r="AO341" s="30" t="n">
        <v>21.53</v>
      </c>
      <c r="AP341" s="30" t="s">
        <v>1006</v>
      </c>
      <c r="AQ341" s="30" t="n">
        <v>21.53</v>
      </c>
      <c r="AR341" s="30" t="s">
        <v>1006</v>
      </c>
      <c r="AS341" s="30" t="n">
        <v>21.53</v>
      </c>
      <c r="AT341" s="30" t="s">
        <v>1006</v>
      </c>
      <c r="AU341" s="30" t="n">
        <v>69.88</v>
      </c>
      <c r="AV341" s="30" t="n">
        <v>0.10033</v>
      </c>
      <c r="AW341" s="30" t="s">
        <v>1007</v>
      </c>
      <c r="AX341" s="30" t="s">
        <v>1008</v>
      </c>
      <c r="AY341" s="30" t="n">
        <v>1</v>
      </c>
      <c r="AZ341" s="30"/>
    </row>
    <row collapsed="false" customFormat="true" customHeight="true" hidden="false" ht="33" outlineLevel="0" r="342" s="73">
      <c r="A342" s="30" t="n">
        <v>369</v>
      </c>
      <c r="B342" s="30" t="s">
        <v>541</v>
      </c>
      <c r="C342" s="30" t="s">
        <v>1009</v>
      </c>
      <c r="D342" s="30" t="s">
        <v>999</v>
      </c>
      <c r="E342" s="30" t="s">
        <v>1000</v>
      </c>
      <c r="F342" s="30" t="s">
        <v>1014</v>
      </c>
      <c r="G342" s="30" t="s">
        <v>1002</v>
      </c>
      <c r="H342" s="30" t="s">
        <v>1003</v>
      </c>
      <c r="I342" s="30" t="n">
        <v>0</v>
      </c>
      <c r="J342" s="30"/>
      <c r="K342" s="30" t="n">
        <v>50</v>
      </c>
      <c r="L342" s="30" t="n">
        <v>7</v>
      </c>
      <c r="M342" s="30" t="s">
        <v>1004</v>
      </c>
      <c r="N342" s="30" t="s">
        <v>54</v>
      </c>
      <c r="O342" s="30"/>
      <c r="P342" s="30"/>
      <c r="Q342" s="30"/>
      <c r="R342" s="30"/>
      <c r="S342" s="30"/>
      <c r="T342" s="30"/>
      <c r="U342" s="30" t="n">
        <v>320.71</v>
      </c>
      <c r="V342" s="30" t="n">
        <v>335.67</v>
      </c>
      <c r="W342" s="30"/>
      <c r="X342" s="30" t="s">
        <v>1006</v>
      </c>
      <c r="Y342" s="30"/>
      <c r="Z342" s="30" t="s">
        <v>1006</v>
      </c>
      <c r="AA342" s="30"/>
      <c r="AB342" s="30" t="s">
        <v>1006</v>
      </c>
      <c r="AC342" s="30"/>
      <c r="AD342" s="30" t="s">
        <v>1006</v>
      </c>
      <c r="AE342" s="30"/>
      <c r="AF342" s="30" t="s">
        <v>1006</v>
      </c>
      <c r="AG342" s="30" t="n">
        <v>0</v>
      </c>
      <c r="AH342" s="30" t="s">
        <v>1006</v>
      </c>
      <c r="AI342" s="30" t="n">
        <v>0</v>
      </c>
      <c r="AJ342" s="30" t="s">
        <v>1006</v>
      </c>
      <c r="AK342" s="30" t="n">
        <v>0</v>
      </c>
      <c r="AL342" s="30" t="s">
        <v>1006</v>
      </c>
      <c r="AM342" s="30" t="n">
        <v>9</v>
      </c>
      <c r="AN342" s="30" t="s">
        <v>1006</v>
      </c>
      <c r="AO342" s="30" t="n">
        <v>33.38</v>
      </c>
      <c r="AP342" s="30" t="s">
        <v>1006</v>
      </c>
      <c r="AQ342" s="30" t="n">
        <v>33.38</v>
      </c>
      <c r="AR342" s="30" t="s">
        <v>1006</v>
      </c>
      <c r="AS342" s="30" t="n">
        <v>33.38</v>
      </c>
      <c r="AT342" s="30" t="s">
        <v>1006</v>
      </c>
      <c r="AU342" s="30" t="n">
        <v>109.14</v>
      </c>
      <c r="AV342" s="30" t="n">
        <v>0.14548</v>
      </c>
      <c r="AW342" s="30" t="s">
        <v>1007</v>
      </c>
      <c r="AX342" s="30" t="s">
        <v>1008</v>
      </c>
      <c r="AY342" s="30" t="n">
        <v>1</v>
      </c>
      <c r="AZ342" s="30"/>
    </row>
    <row collapsed="false" customFormat="true" customHeight="true" hidden="false" ht="33" outlineLevel="0" r="343" s="73">
      <c r="A343" s="30" t="n">
        <v>370</v>
      </c>
      <c r="B343" s="30" t="s">
        <v>542</v>
      </c>
      <c r="C343" s="30" t="s">
        <v>1009</v>
      </c>
      <c r="D343" s="30" t="s">
        <v>999</v>
      </c>
      <c r="E343" s="30" t="s">
        <v>1000</v>
      </c>
      <c r="F343" s="30" t="s">
        <v>1014</v>
      </c>
      <c r="G343" s="30" t="s">
        <v>1002</v>
      </c>
      <c r="H343" s="30" t="s">
        <v>1003</v>
      </c>
      <c r="I343" s="30" t="n">
        <v>0</v>
      </c>
      <c r="J343" s="30"/>
      <c r="K343" s="30" t="n">
        <v>50</v>
      </c>
      <c r="L343" s="30" t="n">
        <v>7</v>
      </c>
      <c r="M343" s="30" t="s">
        <v>1004</v>
      </c>
      <c r="N343" s="30" t="s">
        <v>54</v>
      </c>
      <c r="O343" s="30"/>
      <c r="P343" s="30"/>
      <c r="Q343" s="30"/>
      <c r="R343" s="30"/>
      <c r="S343" s="30"/>
      <c r="T343" s="30"/>
      <c r="U343" s="30" t="n">
        <v>283.12</v>
      </c>
      <c r="V343" s="30" t="n">
        <v>305.4</v>
      </c>
      <c r="W343" s="30"/>
      <c r="X343" s="30" t="s">
        <v>1006</v>
      </c>
      <c r="Y343" s="30"/>
      <c r="Z343" s="30" t="s">
        <v>1006</v>
      </c>
      <c r="AA343" s="30"/>
      <c r="AB343" s="30" t="s">
        <v>1006</v>
      </c>
      <c r="AC343" s="30"/>
      <c r="AD343" s="30" t="s">
        <v>1006</v>
      </c>
      <c r="AE343" s="30"/>
      <c r="AF343" s="30" t="s">
        <v>1006</v>
      </c>
      <c r="AG343" s="30" t="n">
        <v>0</v>
      </c>
      <c r="AH343" s="30" t="s">
        <v>1006</v>
      </c>
      <c r="AI343" s="30" t="n">
        <v>0</v>
      </c>
      <c r="AJ343" s="30" t="s">
        <v>1006</v>
      </c>
      <c r="AK343" s="30" t="n">
        <v>0</v>
      </c>
      <c r="AL343" s="30" t="s">
        <v>1006</v>
      </c>
      <c r="AM343" s="30" t="n">
        <v>7.41</v>
      </c>
      <c r="AN343" s="30" t="s">
        <v>1006</v>
      </c>
      <c r="AO343" s="30" t="n">
        <v>31.76</v>
      </c>
      <c r="AP343" s="30" t="s">
        <v>1006</v>
      </c>
      <c r="AQ343" s="30" t="n">
        <v>31.76</v>
      </c>
      <c r="AR343" s="30" t="s">
        <v>1006</v>
      </c>
      <c r="AS343" s="30" t="n">
        <v>31.76</v>
      </c>
      <c r="AT343" s="30" t="s">
        <v>1006</v>
      </c>
      <c r="AU343" s="30" t="n">
        <v>102.69</v>
      </c>
      <c r="AV343" s="30" t="n">
        <v>0.12842</v>
      </c>
      <c r="AW343" s="30" t="s">
        <v>1007</v>
      </c>
      <c r="AX343" s="30" t="s">
        <v>1008</v>
      </c>
      <c r="AY343" s="30" t="n">
        <v>1</v>
      </c>
      <c r="AZ343" s="30"/>
    </row>
    <row collapsed="false" customFormat="true" customHeight="true" hidden="false" ht="33" outlineLevel="0" r="344" s="73">
      <c r="A344" s="30" t="n">
        <v>371</v>
      </c>
      <c r="B344" s="30" t="s">
        <v>544</v>
      </c>
      <c r="C344" s="30" t="s">
        <v>1009</v>
      </c>
      <c r="D344" s="30" t="s">
        <v>999</v>
      </c>
      <c r="E344" s="30" t="s">
        <v>1010</v>
      </c>
      <c r="F344" s="30" t="s">
        <v>1001</v>
      </c>
      <c r="G344" s="30" t="s">
        <v>1002</v>
      </c>
      <c r="H344" s="30" t="s">
        <v>1003</v>
      </c>
      <c r="I344" s="30" t="n">
        <v>1</v>
      </c>
      <c r="J344" s="30"/>
      <c r="K344" s="30" t="n">
        <v>80</v>
      </c>
      <c r="L344" s="30" t="n">
        <v>5.5</v>
      </c>
      <c r="M344" s="30" t="s">
        <v>1015</v>
      </c>
      <c r="N344" s="30" t="s">
        <v>53</v>
      </c>
      <c r="O344" s="30"/>
      <c r="P344" s="30"/>
      <c r="Q344" s="30"/>
      <c r="R344" s="30"/>
      <c r="S344" s="30"/>
      <c r="T344" s="30"/>
      <c r="U344" s="30" t="n">
        <v>485.94</v>
      </c>
      <c r="V344" s="30" t="n">
        <v>729.68</v>
      </c>
      <c r="W344" s="30" t="n">
        <v>70.81</v>
      </c>
      <c r="X344" s="30" t="s">
        <v>1006</v>
      </c>
      <c r="Y344" s="30" t="n">
        <v>70.81</v>
      </c>
      <c r="Z344" s="30" t="s">
        <v>1006</v>
      </c>
      <c r="AA344" s="30" t="n">
        <v>70.81</v>
      </c>
      <c r="AB344" s="30" t="s">
        <v>1006</v>
      </c>
      <c r="AC344" s="30" t="n">
        <v>70.81</v>
      </c>
      <c r="AD344" s="30" t="s">
        <v>1006</v>
      </c>
      <c r="AE344" s="30" t="n">
        <v>20.56</v>
      </c>
      <c r="AF344" s="30" t="s">
        <v>1006</v>
      </c>
      <c r="AG344" s="30" t="n">
        <v>0</v>
      </c>
      <c r="AH344" s="30" t="s">
        <v>1006</v>
      </c>
      <c r="AI344" s="30" t="n">
        <v>0</v>
      </c>
      <c r="AJ344" s="30" t="s">
        <v>1006</v>
      </c>
      <c r="AK344" s="30" t="n">
        <v>0</v>
      </c>
      <c r="AL344" s="30" t="s">
        <v>1006</v>
      </c>
      <c r="AM344" s="30" t="n">
        <v>17.12</v>
      </c>
      <c r="AN344" s="30" t="s">
        <v>1006</v>
      </c>
      <c r="AO344" s="30" t="n">
        <v>73.39</v>
      </c>
      <c r="AP344" s="30" t="s">
        <v>1005</v>
      </c>
      <c r="AQ344" s="30" t="n">
        <v>25.98</v>
      </c>
      <c r="AR344" s="30" t="s">
        <v>1005</v>
      </c>
      <c r="AS344" s="30" t="n">
        <v>49.66</v>
      </c>
      <c r="AT344" s="30" t="s">
        <v>1005</v>
      </c>
      <c r="AU344" s="30" t="n">
        <v>469.95</v>
      </c>
      <c r="AV344" s="30" t="n">
        <v>0.34593</v>
      </c>
      <c r="AW344" s="30" t="s">
        <v>1016</v>
      </c>
      <c r="AX344" s="30" t="s">
        <v>1008</v>
      </c>
      <c r="AY344" s="30" t="n">
        <v>1</v>
      </c>
      <c r="AZ344" s="30"/>
    </row>
    <row collapsed="false" customFormat="true" customHeight="true" hidden="false" ht="33" outlineLevel="0" r="345" s="73">
      <c r="A345" s="30" t="n">
        <v>372</v>
      </c>
      <c r="B345" s="30" t="s">
        <v>545</v>
      </c>
      <c r="C345" s="30" t="s">
        <v>1009</v>
      </c>
      <c r="D345" s="30" t="s">
        <v>999</v>
      </c>
      <c r="E345" s="30" t="s">
        <v>1010</v>
      </c>
      <c r="F345" s="30" t="s">
        <v>1001</v>
      </c>
      <c r="G345" s="30" t="s">
        <v>1002</v>
      </c>
      <c r="H345" s="30" t="s">
        <v>1003</v>
      </c>
      <c r="I345" s="30" t="n">
        <v>0</v>
      </c>
      <c r="J345" s="30"/>
      <c r="K345" s="30" t="n">
        <v>50</v>
      </c>
      <c r="L345" s="30" t="n">
        <v>5.5</v>
      </c>
      <c r="M345" s="30" t="s">
        <v>1015</v>
      </c>
      <c r="N345" s="30" t="s">
        <v>54</v>
      </c>
      <c r="O345" s="30"/>
      <c r="P345" s="30"/>
      <c r="Q345" s="30"/>
      <c r="R345" s="30"/>
      <c r="S345" s="30"/>
      <c r="T345" s="30"/>
      <c r="U345" s="30" t="n">
        <v>45.03</v>
      </c>
      <c r="V345" s="30" t="n">
        <v>130.19</v>
      </c>
      <c r="W345" s="30" t="n">
        <v>14.68</v>
      </c>
      <c r="X345" s="30" t="s">
        <v>1006</v>
      </c>
      <c r="Y345" s="30" t="n">
        <v>14.68</v>
      </c>
      <c r="Z345" s="30" t="s">
        <v>1006</v>
      </c>
      <c r="AA345" s="30" t="n">
        <v>14.68</v>
      </c>
      <c r="AB345" s="30" t="s">
        <v>1006</v>
      </c>
      <c r="AC345" s="30" t="n">
        <v>14.68</v>
      </c>
      <c r="AD345" s="30" t="s">
        <v>1006</v>
      </c>
      <c r="AE345" s="30" t="n">
        <v>4.26</v>
      </c>
      <c r="AF345" s="30" t="s">
        <v>1006</v>
      </c>
      <c r="AG345" s="30" t="n">
        <v>0</v>
      </c>
      <c r="AH345" s="30" t="s">
        <v>1006</v>
      </c>
      <c r="AI345" s="30" t="n">
        <v>0</v>
      </c>
      <c r="AJ345" s="30" t="s">
        <v>1006</v>
      </c>
      <c r="AK345" s="30" t="n">
        <v>0</v>
      </c>
      <c r="AL345" s="30" t="s">
        <v>1006</v>
      </c>
      <c r="AM345" s="30" t="n">
        <v>3.6</v>
      </c>
      <c r="AN345" s="30" t="s">
        <v>1006</v>
      </c>
      <c r="AO345" s="30" t="n">
        <v>15.42</v>
      </c>
      <c r="AP345" s="30" t="s">
        <v>1006</v>
      </c>
      <c r="AQ345" s="30" t="n">
        <v>15.42</v>
      </c>
      <c r="AR345" s="30" t="s">
        <v>1006</v>
      </c>
      <c r="AS345" s="30" t="n">
        <v>15.42</v>
      </c>
      <c r="AT345" s="30" t="s">
        <v>1006</v>
      </c>
      <c r="AU345" s="30" t="n">
        <v>112.84</v>
      </c>
      <c r="AV345" s="30" t="n">
        <v>0.02408</v>
      </c>
      <c r="AW345" s="30" t="s">
        <v>1016</v>
      </c>
      <c r="AX345" s="30" t="s">
        <v>1008</v>
      </c>
      <c r="AY345" s="30" t="n">
        <v>1</v>
      </c>
      <c r="AZ345" s="30"/>
    </row>
    <row collapsed="false" customFormat="true" customHeight="true" hidden="false" ht="33" outlineLevel="0" r="346" s="73">
      <c r="A346" s="30" t="n">
        <v>373</v>
      </c>
      <c r="B346" s="30" t="s">
        <v>546</v>
      </c>
      <c r="C346" s="30" t="s">
        <v>1009</v>
      </c>
      <c r="D346" s="30" t="s">
        <v>999</v>
      </c>
      <c r="E346" s="30" t="s">
        <v>1010</v>
      </c>
      <c r="F346" s="30" t="s">
        <v>1001</v>
      </c>
      <c r="G346" s="30" t="s">
        <v>1002</v>
      </c>
      <c r="H346" s="30" t="s">
        <v>1003</v>
      </c>
      <c r="I346" s="30" t="n">
        <v>0</v>
      </c>
      <c r="J346" s="30"/>
      <c r="K346" s="30" t="n">
        <v>50</v>
      </c>
      <c r="L346" s="30" t="n">
        <v>5.5</v>
      </c>
      <c r="M346" s="30" t="s">
        <v>1015</v>
      </c>
      <c r="N346" s="30" t="s">
        <v>54</v>
      </c>
      <c r="O346" s="30"/>
      <c r="P346" s="30"/>
      <c r="Q346" s="30"/>
      <c r="R346" s="30"/>
      <c r="S346" s="30"/>
      <c r="T346" s="30"/>
      <c r="U346" s="30" t="n">
        <v>42.97</v>
      </c>
      <c r="V346" s="30" t="n">
        <v>110.32</v>
      </c>
      <c r="W346" s="30" t="n">
        <v>12.2</v>
      </c>
      <c r="X346" s="30" t="s">
        <v>1006</v>
      </c>
      <c r="Y346" s="30" t="n">
        <v>12.2</v>
      </c>
      <c r="Z346" s="30" t="s">
        <v>1006</v>
      </c>
      <c r="AA346" s="30" t="n">
        <v>12.2</v>
      </c>
      <c r="AB346" s="30" t="s">
        <v>1006</v>
      </c>
      <c r="AC346" s="30" t="n">
        <v>12.2</v>
      </c>
      <c r="AD346" s="30" t="s">
        <v>1006</v>
      </c>
      <c r="AE346" s="30" t="n">
        <v>3.54</v>
      </c>
      <c r="AF346" s="30" t="s">
        <v>1006</v>
      </c>
      <c r="AG346" s="30" t="n">
        <v>0</v>
      </c>
      <c r="AH346" s="30" t="s">
        <v>1006</v>
      </c>
      <c r="AI346" s="30" t="n">
        <v>0</v>
      </c>
      <c r="AJ346" s="30" t="s">
        <v>1006</v>
      </c>
      <c r="AK346" s="30" t="n">
        <v>0</v>
      </c>
      <c r="AL346" s="30" t="s">
        <v>1006</v>
      </c>
      <c r="AM346" s="30" t="n">
        <v>2.56</v>
      </c>
      <c r="AN346" s="30" t="s">
        <v>1006</v>
      </c>
      <c r="AO346" s="30" t="n">
        <v>12.82</v>
      </c>
      <c r="AP346" s="30" t="s">
        <v>1006</v>
      </c>
      <c r="AQ346" s="30" t="n">
        <v>12.82</v>
      </c>
      <c r="AR346" s="30" t="s">
        <v>1006</v>
      </c>
      <c r="AS346" s="30" t="n">
        <v>12.82</v>
      </c>
      <c r="AT346" s="30" t="s">
        <v>1006</v>
      </c>
      <c r="AU346" s="30" t="n">
        <v>93.36</v>
      </c>
      <c r="AV346" s="30" t="n">
        <v>0.02308</v>
      </c>
      <c r="AW346" s="30" t="s">
        <v>1007</v>
      </c>
      <c r="AX346" s="30" t="s">
        <v>1008</v>
      </c>
      <c r="AY346" s="30"/>
      <c r="AZ346" s="30"/>
    </row>
    <row collapsed="false" customFormat="true" customHeight="true" hidden="false" ht="33" outlineLevel="0" r="347" s="73">
      <c r="A347" s="30" t="n">
        <v>376</v>
      </c>
      <c r="B347" s="30" t="s">
        <v>551</v>
      </c>
      <c r="C347" s="30" t="s">
        <v>1009</v>
      </c>
      <c r="D347" s="30" t="s">
        <v>999</v>
      </c>
      <c r="E347" s="30" t="s">
        <v>1000</v>
      </c>
      <c r="F347" s="30" t="s">
        <v>1001</v>
      </c>
      <c r="G347" s="30" t="s">
        <v>1002</v>
      </c>
      <c r="H347" s="30" t="s">
        <v>1003</v>
      </c>
      <c r="I347" s="30" t="n">
        <v>1</v>
      </c>
      <c r="J347" s="30"/>
      <c r="K347" s="30" t="n">
        <v>65</v>
      </c>
      <c r="L347" s="30" t="n">
        <v>5.5</v>
      </c>
      <c r="M347" s="30" t="s">
        <v>1004</v>
      </c>
      <c r="N347" s="30" t="s">
        <v>53</v>
      </c>
      <c r="O347" s="30"/>
      <c r="P347" s="30"/>
      <c r="Q347" s="30"/>
      <c r="R347" s="30"/>
      <c r="S347" s="30"/>
      <c r="T347" s="30"/>
      <c r="U347" s="30" t="n">
        <v>583.8</v>
      </c>
      <c r="V347" s="30" t="n">
        <v>549.68</v>
      </c>
      <c r="W347" s="30" t="n">
        <v>108.4</v>
      </c>
      <c r="X347" s="30" t="s">
        <v>1005</v>
      </c>
      <c r="Y347" s="30" t="n">
        <v>69.09</v>
      </c>
      <c r="Z347" s="30" t="s">
        <v>1005</v>
      </c>
      <c r="AA347" s="30" t="n">
        <v>107.87</v>
      </c>
      <c r="AB347" s="30" t="s">
        <v>1005</v>
      </c>
      <c r="AC347" s="30" t="n">
        <v>39.99</v>
      </c>
      <c r="AD347" s="30" t="s">
        <v>1005</v>
      </c>
      <c r="AE347" s="30" t="n">
        <v>9.94</v>
      </c>
      <c r="AF347" s="30" t="s">
        <v>1005</v>
      </c>
      <c r="AG347" s="30" t="n">
        <v>0</v>
      </c>
      <c r="AH347" s="30" t="s">
        <v>1006</v>
      </c>
      <c r="AI347" s="30" t="n">
        <v>0</v>
      </c>
      <c r="AJ347" s="30" t="s">
        <v>1006</v>
      </c>
      <c r="AK347" s="30" t="n">
        <v>0</v>
      </c>
      <c r="AL347" s="30" t="s">
        <v>1006</v>
      </c>
      <c r="AM347" s="30" t="n">
        <v>0</v>
      </c>
      <c r="AN347" s="30"/>
      <c r="AO347" s="30" t="n">
        <v>19.71</v>
      </c>
      <c r="AP347" s="30" t="s">
        <v>1005</v>
      </c>
      <c r="AQ347" s="30" t="n">
        <v>51.03</v>
      </c>
      <c r="AR347" s="30" t="s">
        <v>1005</v>
      </c>
      <c r="AS347" s="30" t="n">
        <v>74.13</v>
      </c>
      <c r="AT347" s="30" t="s">
        <v>1005</v>
      </c>
      <c r="AU347" s="30" t="n">
        <v>480.16</v>
      </c>
      <c r="AV347" s="30" t="n">
        <v>0.33146</v>
      </c>
      <c r="AW347" s="30" t="s">
        <v>1007</v>
      </c>
      <c r="AX347" s="30" t="s">
        <v>1008</v>
      </c>
      <c r="AY347" s="30" t="n">
        <v>0</v>
      </c>
      <c r="AZ347" s="30"/>
    </row>
    <row collapsed="false" customFormat="true" customHeight="true" hidden="false" ht="33" outlineLevel="0" r="348" s="73">
      <c r="A348" s="30" t="n">
        <v>377</v>
      </c>
      <c r="B348" s="30" t="s">
        <v>554</v>
      </c>
      <c r="C348" s="30" t="s">
        <v>1009</v>
      </c>
      <c r="D348" s="30" t="s">
        <v>999</v>
      </c>
      <c r="E348" s="30" t="s">
        <v>1010</v>
      </c>
      <c r="F348" s="30" t="s">
        <v>1011</v>
      </c>
      <c r="G348" s="30" t="s">
        <v>1002</v>
      </c>
      <c r="H348" s="30" t="s">
        <v>1003</v>
      </c>
      <c r="I348" s="30" t="n">
        <v>1</v>
      </c>
      <c r="J348" s="30"/>
      <c r="K348" s="30" t="n">
        <v>57</v>
      </c>
      <c r="L348" s="30"/>
      <c r="M348" s="30" t="s">
        <v>1012</v>
      </c>
      <c r="N348" s="30" t="s">
        <v>54</v>
      </c>
      <c r="O348" s="30"/>
      <c r="P348" s="30"/>
      <c r="Q348" s="30"/>
      <c r="R348" s="30"/>
      <c r="S348" s="30"/>
      <c r="T348" s="30"/>
      <c r="U348" s="30" t="n">
        <v>158.11</v>
      </c>
      <c r="V348" s="30" t="n">
        <v>265.2</v>
      </c>
      <c r="W348" s="30" t="n">
        <v>47.37</v>
      </c>
      <c r="X348" s="30" t="s">
        <v>1005</v>
      </c>
      <c r="Y348" s="30" t="n">
        <v>34.15</v>
      </c>
      <c r="Z348" s="30" t="s">
        <v>1005</v>
      </c>
      <c r="AA348" s="30" t="n">
        <v>35.05</v>
      </c>
      <c r="AB348" s="30" t="s">
        <v>1005</v>
      </c>
      <c r="AC348" s="30" t="n">
        <v>22.77</v>
      </c>
      <c r="AD348" s="30" t="s">
        <v>1006</v>
      </c>
      <c r="AE348" s="30" t="n">
        <v>6.61</v>
      </c>
      <c r="AF348" s="30" t="s">
        <v>1006</v>
      </c>
      <c r="AG348" s="30" t="n">
        <v>0</v>
      </c>
      <c r="AH348" s="30" t="s">
        <v>1006</v>
      </c>
      <c r="AI348" s="30" t="n">
        <v>0</v>
      </c>
      <c r="AJ348" s="30" t="s">
        <v>1006</v>
      </c>
      <c r="AK348" s="30" t="n">
        <v>0</v>
      </c>
      <c r="AL348" s="30" t="s">
        <v>1006</v>
      </c>
      <c r="AM348" s="30" t="n">
        <v>0</v>
      </c>
      <c r="AN348" s="30" t="s">
        <v>1006</v>
      </c>
      <c r="AO348" s="30" t="n">
        <v>14.86</v>
      </c>
      <c r="AP348" s="30" t="s">
        <v>1005</v>
      </c>
      <c r="AQ348" s="30" t="n">
        <v>18.46</v>
      </c>
      <c r="AR348" s="30" t="s">
        <v>1005</v>
      </c>
      <c r="AS348" s="30" t="n">
        <v>27.62</v>
      </c>
      <c r="AT348" s="30" t="s">
        <v>1005</v>
      </c>
      <c r="AU348" s="30" t="n">
        <v>206.89</v>
      </c>
      <c r="AV348" s="30" t="n">
        <v>0.10099</v>
      </c>
      <c r="AW348" s="30" t="s">
        <v>1013</v>
      </c>
      <c r="AX348" s="30" t="s">
        <v>1008</v>
      </c>
      <c r="AY348" s="30" t="n">
        <v>1</v>
      </c>
      <c r="AZ348" s="30"/>
    </row>
    <row collapsed="false" customFormat="true" customHeight="true" hidden="false" ht="33" outlineLevel="0" r="349" s="73">
      <c r="A349" s="30" t="n">
        <v>378</v>
      </c>
      <c r="B349" s="30" t="s">
        <v>555</v>
      </c>
      <c r="C349" s="30" t="s">
        <v>1009</v>
      </c>
      <c r="D349" s="30" t="s">
        <v>999</v>
      </c>
      <c r="E349" s="30" t="s">
        <v>1010</v>
      </c>
      <c r="F349" s="30" t="s">
        <v>1011</v>
      </c>
      <c r="G349" s="30" t="s">
        <v>1002</v>
      </c>
      <c r="H349" s="30" t="s">
        <v>1003</v>
      </c>
      <c r="I349" s="30" t="n">
        <v>1</v>
      </c>
      <c r="J349" s="30"/>
      <c r="K349" s="30" t="n">
        <v>76</v>
      </c>
      <c r="L349" s="30"/>
      <c r="M349" s="30" t="s">
        <v>1012</v>
      </c>
      <c r="N349" s="30" t="s">
        <v>54</v>
      </c>
      <c r="O349" s="30"/>
      <c r="P349" s="30"/>
      <c r="Q349" s="30"/>
      <c r="R349" s="30"/>
      <c r="S349" s="30"/>
      <c r="T349" s="30"/>
      <c r="U349" s="30" t="n">
        <v>431.21</v>
      </c>
      <c r="V349" s="30" t="n">
        <v>587.11</v>
      </c>
      <c r="W349" s="30" t="n">
        <v>119.34</v>
      </c>
      <c r="X349" s="30" t="s">
        <v>1005</v>
      </c>
      <c r="Y349" s="30" t="n">
        <v>79.39</v>
      </c>
      <c r="Z349" s="30" t="s">
        <v>1005</v>
      </c>
      <c r="AA349" s="30" t="n">
        <v>113.83</v>
      </c>
      <c r="AB349" s="30" t="s">
        <v>1005</v>
      </c>
      <c r="AC349" s="30" t="n">
        <v>38.49</v>
      </c>
      <c r="AD349" s="30" t="s">
        <v>1005</v>
      </c>
      <c r="AE349" s="30" t="n">
        <v>22.62</v>
      </c>
      <c r="AF349" s="30" t="s">
        <v>1005</v>
      </c>
      <c r="AG349" s="30" t="n">
        <v>0</v>
      </c>
      <c r="AH349" s="30" t="s">
        <v>1005</v>
      </c>
      <c r="AI349" s="30" t="n">
        <v>0</v>
      </c>
      <c r="AJ349" s="30" t="s">
        <v>1005</v>
      </c>
      <c r="AK349" s="30" t="n">
        <v>0</v>
      </c>
      <c r="AL349" s="30" t="s">
        <v>1005</v>
      </c>
      <c r="AM349" s="30" t="n">
        <v>0</v>
      </c>
      <c r="AN349" s="30" t="s">
        <v>1005</v>
      </c>
      <c r="AO349" s="30" t="n">
        <v>76.01</v>
      </c>
      <c r="AP349" s="30" t="s">
        <v>1006</v>
      </c>
      <c r="AQ349" s="30" t="n">
        <v>33.81</v>
      </c>
      <c r="AR349" s="30" t="s">
        <v>1005</v>
      </c>
      <c r="AS349" s="30" t="n">
        <v>65.71</v>
      </c>
      <c r="AT349" s="30" t="s">
        <v>1005</v>
      </c>
      <c r="AU349" s="30" t="n">
        <v>549.2</v>
      </c>
      <c r="AV349" s="30" t="n">
        <v>0.268</v>
      </c>
      <c r="AW349" s="30" t="s">
        <v>1013</v>
      </c>
      <c r="AX349" s="30" t="s">
        <v>1008</v>
      </c>
      <c r="AY349" s="30" t="n">
        <v>1</v>
      </c>
      <c r="AZ349" s="30"/>
    </row>
    <row collapsed="false" customFormat="true" customHeight="true" hidden="false" ht="33" outlineLevel="0" r="350" s="73">
      <c r="A350" s="30" t="n">
        <v>379</v>
      </c>
      <c r="B350" s="30" t="s">
        <v>556</v>
      </c>
      <c r="C350" s="30" t="s">
        <v>1009</v>
      </c>
      <c r="D350" s="30" t="s">
        <v>999</v>
      </c>
      <c r="E350" s="30" t="s">
        <v>1010</v>
      </c>
      <c r="F350" s="30" t="s">
        <v>1011</v>
      </c>
      <c r="G350" s="30" t="s">
        <v>1002</v>
      </c>
      <c r="H350" s="30" t="s">
        <v>1003</v>
      </c>
      <c r="I350" s="30" t="n">
        <v>1</v>
      </c>
      <c r="J350" s="30"/>
      <c r="K350" s="30" t="n">
        <v>57</v>
      </c>
      <c r="L350" s="30"/>
      <c r="M350" s="30" t="s">
        <v>1012</v>
      </c>
      <c r="N350" s="30" t="s">
        <v>54</v>
      </c>
      <c r="O350" s="30"/>
      <c r="P350" s="30"/>
      <c r="Q350" s="30"/>
      <c r="R350" s="30"/>
      <c r="S350" s="30"/>
      <c r="T350" s="30"/>
      <c r="U350" s="30" t="n">
        <v>251.7</v>
      </c>
      <c r="V350" s="30" t="n">
        <v>282.23</v>
      </c>
      <c r="W350" s="30" t="n">
        <v>43.93</v>
      </c>
      <c r="X350" s="30" t="s">
        <v>1005</v>
      </c>
      <c r="Y350" s="30" t="n">
        <v>38.61</v>
      </c>
      <c r="Z350" s="30" t="s">
        <v>1005</v>
      </c>
      <c r="AA350" s="30" t="n">
        <v>35.11</v>
      </c>
      <c r="AB350" s="30" t="s">
        <v>1006</v>
      </c>
      <c r="AC350" s="30" t="n">
        <v>23.84</v>
      </c>
      <c r="AD350" s="30" t="s">
        <v>1005</v>
      </c>
      <c r="AE350" s="30" t="n">
        <v>11.04</v>
      </c>
      <c r="AF350" s="30" t="s">
        <v>1005</v>
      </c>
      <c r="AG350" s="30" t="n">
        <v>0</v>
      </c>
      <c r="AH350" s="30" t="s">
        <v>1005</v>
      </c>
      <c r="AI350" s="30" t="n">
        <v>0</v>
      </c>
      <c r="AJ350" s="30" t="s">
        <v>1005</v>
      </c>
      <c r="AK350" s="30" t="n">
        <v>0</v>
      </c>
      <c r="AL350" s="30" t="s">
        <v>1005</v>
      </c>
      <c r="AM350" s="30" t="n">
        <v>0</v>
      </c>
      <c r="AN350" s="30" t="s">
        <v>1005</v>
      </c>
      <c r="AO350" s="30" t="n">
        <v>33.79</v>
      </c>
      <c r="AP350" s="30" t="s">
        <v>1006</v>
      </c>
      <c r="AQ350" s="30" t="n">
        <v>33.79</v>
      </c>
      <c r="AR350" s="30" t="s">
        <v>1006</v>
      </c>
      <c r="AS350" s="30" t="n">
        <v>24.59</v>
      </c>
      <c r="AT350" s="30" t="s">
        <v>1005</v>
      </c>
      <c r="AU350" s="30" t="n">
        <v>244.7</v>
      </c>
      <c r="AV350" s="30" t="n">
        <v>0.143</v>
      </c>
      <c r="AW350" s="30" t="s">
        <v>1013</v>
      </c>
      <c r="AX350" s="30" t="s">
        <v>1008</v>
      </c>
      <c r="AY350" s="30" t="n">
        <v>1</v>
      </c>
      <c r="AZ350" s="30"/>
    </row>
    <row collapsed="false" customFormat="true" customHeight="true" hidden="false" ht="33" outlineLevel="0" r="351" s="73">
      <c r="A351" s="30" t="n">
        <v>380</v>
      </c>
      <c r="B351" s="30" t="s">
        <v>557</v>
      </c>
      <c r="C351" s="30" t="s">
        <v>1009</v>
      </c>
      <c r="D351" s="30" t="s">
        <v>999</v>
      </c>
      <c r="E351" s="30" t="s">
        <v>1010</v>
      </c>
      <c r="F351" s="30" t="s">
        <v>1011</v>
      </c>
      <c r="G351" s="30" t="s">
        <v>1002</v>
      </c>
      <c r="H351" s="30" t="s">
        <v>1003</v>
      </c>
      <c r="I351" s="30" t="n">
        <v>1</v>
      </c>
      <c r="J351" s="30"/>
      <c r="K351" s="30" t="n">
        <v>57</v>
      </c>
      <c r="L351" s="30"/>
      <c r="M351" s="30" t="s">
        <v>1012</v>
      </c>
      <c r="N351" s="30" t="s">
        <v>54</v>
      </c>
      <c r="O351" s="30"/>
      <c r="P351" s="30"/>
      <c r="Q351" s="30"/>
      <c r="R351" s="30"/>
      <c r="S351" s="30"/>
      <c r="T351" s="30"/>
      <c r="U351" s="30" t="n">
        <v>296.34</v>
      </c>
      <c r="V351" s="30" t="n">
        <v>575.56</v>
      </c>
      <c r="W351" s="30" t="n">
        <v>96.16</v>
      </c>
      <c r="X351" s="30" t="s">
        <v>1005</v>
      </c>
      <c r="Y351" s="30" t="n">
        <v>75.02</v>
      </c>
      <c r="Z351" s="30" t="s">
        <v>1005</v>
      </c>
      <c r="AA351" s="30" t="n">
        <v>89.25</v>
      </c>
      <c r="AB351" s="30" t="s">
        <v>1005</v>
      </c>
      <c r="AC351" s="30" t="n">
        <v>35.26</v>
      </c>
      <c r="AD351" s="30" t="s">
        <v>1005</v>
      </c>
      <c r="AE351" s="30" t="n">
        <v>20.2</v>
      </c>
      <c r="AF351" s="30" t="s">
        <v>1005</v>
      </c>
      <c r="AG351" s="30" t="n">
        <v>0</v>
      </c>
      <c r="AH351" s="30" t="s">
        <v>1005</v>
      </c>
      <c r="AI351" s="30" t="n">
        <v>0</v>
      </c>
      <c r="AJ351" s="30" t="s">
        <v>1005</v>
      </c>
      <c r="AK351" s="30" t="n">
        <v>0</v>
      </c>
      <c r="AL351" s="30" t="s">
        <v>1005</v>
      </c>
      <c r="AM351" s="30" t="n">
        <v>0</v>
      </c>
      <c r="AN351" s="30" t="s">
        <v>1005</v>
      </c>
      <c r="AO351" s="30" t="n">
        <v>40.69</v>
      </c>
      <c r="AP351" s="30" t="s">
        <v>1005</v>
      </c>
      <c r="AQ351" s="30" t="n">
        <v>42</v>
      </c>
      <c r="AR351" s="30" t="s">
        <v>1005</v>
      </c>
      <c r="AS351" s="30" t="n">
        <v>59.77</v>
      </c>
      <c r="AT351" s="30" t="s">
        <v>1005</v>
      </c>
      <c r="AU351" s="30" t="n">
        <v>458.35</v>
      </c>
      <c r="AV351" s="30" t="n">
        <v>0.268</v>
      </c>
      <c r="AW351" s="30" t="s">
        <v>1013</v>
      </c>
      <c r="AX351" s="30" t="s">
        <v>1008</v>
      </c>
      <c r="AY351" s="30" t="n">
        <v>1</v>
      </c>
      <c r="AZ351" s="30"/>
    </row>
    <row collapsed="false" customFormat="true" customHeight="true" hidden="false" ht="33" outlineLevel="0" r="352" s="73">
      <c r="A352" s="30" t="n">
        <v>381</v>
      </c>
      <c r="B352" s="30" t="s">
        <v>558</v>
      </c>
      <c r="C352" s="30" t="s">
        <v>1009</v>
      </c>
      <c r="D352" s="30" t="s">
        <v>999</v>
      </c>
      <c r="E352" s="30" t="s">
        <v>1010</v>
      </c>
      <c r="F352" s="30" t="s">
        <v>1011</v>
      </c>
      <c r="G352" s="30" t="s">
        <v>1002</v>
      </c>
      <c r="H352" s="30" t="s">
        <v>1003</v>
      </c>
      <c r="I352" s="30" t="n">
        <v>1</v>
      </c>
      <c r="J352" s="30"/>
      <c r="K352" s="30" t="n">
        <v>57</v>
      </c>
      <c r="L352" s="30"/>
      <c r="M352" s="30" t="s">
        <v>1012</v>
      </c>
      <c r="N352" s="30" t="s">
        <v>54</v>
      </c>
      <c r="O352" s="30"/>
      <c r="P352" s="30"/>
      <c r="Q352" s="30"/>
      <c r="R352" s="30"/>
      <c r="S352" s="30"/>
      <c r="T352" s="30"/>
      <c r="U352" s="30" t="n">
        <v>239.76</v>
      </c>
      <c r="V352" s="30" t="n">
        <v>343.74</v>
      </c>
      <c r="W352" s="30" t="n">
        <v>85.28</v>
      </c>
      <c r="X352" s="30" t="s">
        <v>1005</v>
      </c>
      <c r="Y352" s="30" t="n">
        <v>57.5</v>
      </c>
      <c r="Z352" s="30" t="s">
        <v>1005</v>
      </c>
      <c r="AA352" s="30" t="n">
        <v>52.01</v>
      </c>
      <c r="AB352" s="30" t="s">
        <v>1005</v>
      </c>
      <c r="AC352" s="30" t="n">
        <v>22.34</v>
      </c>
      <c r="AD352" s="30" t="s">
        <v>1005</v>
      </c>
      <c r="AE352" s="30" t="n">
        <v>12.38</v>
      </c>
      <c r="AF352" s="30" t="s">
        <v>1005</v>
      </c>
      <c r="AG352" s="30" t="n">
        <v>0</v>
      </c>
      <c r="AH352" s="30" t="s">
        <v>1005</v>
      </c>
      <c r="AI352" s="30" t="n">
        <v>0</v>
      </c>
      <c r="AJ352" s="30" t="s">
        <v>1005</v>
      </c>
      <c r="AK352" s="30" t="n">
        <v>0</v>
      </c>
      <c r="AL352" s="30" t="s">
        <v>1005</v>
      </c>
      <c r="AM352" s="30" t="n">
        <v>0</v>
      </c>
      <c r="AN352" s="30" t="s">
        <v>1005</v>
      </c>
      <c r="AO352" s="30" t="n">
        <v>28.87</v>
      </c>
      <c r="AP352" s="30" t="s">
        <v>1005</v>
      </c>
      <c r="AQ352" s="30" t="n">
        <v>27.91</v>
      </c>
      <c r="AR352" s="30" t="s">
        <v>1005</v>
      </c>
      <c r="AS352" s="30" t="n">
        <v>38.7</v>
      </c>
      <c r="AT352" s="30" t="s">
        <v>1005</v>
      </c>
      <c r="AU352" s="30" t="n">
        <v>324.99</v>
      </c>
      <c r="AV352" s="30" t="n">
        <v>0.143</v>
      </c>
      <c r="AW352" s="30" t="s">
        <v>1013</v>
      </c>
      <c r="AX352" s="30" t="s">
        <v>1008</v>
      </c>
      <c r="AY352" s="30" t="n">
        <v>1</v>
      </c>
      <c r="AZ352" s="30"/>
    </row>
    <row collapsed="false" customFormat="true" customHeight="true" hidden="false" ht="33" outlineLevel="0" r="353" s="73">
      <c r="A353" s="30" t="n">
        <v>382</v>
      </c>
      <c r="B353" s="30" t="s">
        <v>559</v>
      </c>
      <c r="C353" s="30" t="s">
        <v>1009</v>
      </c>
      <c r="D353" s="30" t="s">
        <v>999</v>
      </c>
      <c r="E353" s="30" t="s">
        <v>1010</v>
      </c>
      <c r="F353" s="30" t="s">
        <v>1011</v>
      </c>
      <c r="G353" s="30" t="s">
        <v>1002</v>
      </c>
      <c r="H353" s="30" t="s">
        <v>1003</v>
      </c>
      <c r="I353" s="30" t="n">
        <v>1</v>
      </c>
      <c r="J353" s="30"/>
      <c r="K353" s="30" t="n">
        <v>57</v>
      </c>
      <c r="L353" s="30"/>
      <c r="M353" s="30" t="s">
        <v>1012</v>
      </c>
      <c r="N353" s="30" t="s">
        <v>54</v>
      </c>
      <c r="O353" s="30"/>
      <c r="P353" s="30"/>
      <c r="Q353" s="30"/>
      <c r="R353" s="30"/>
      <c r="S353" s="30"/>
      <c r="T353" s="30"/>
      <c r="U353" s="30" t="n">
        <v>472.95</v>
      </c>
      <c r="V353" s="30" t="n">
        <v>618.45</v>
      </c>
      <c r="W353" s="30" t="n">
        <v>96.05</v>
      </c>
      <c r="X353" s="30" t="s">
        <v>1005</v>
      </c>
      <c r="Y353" s="30" t="n">
        <v>75.36</v>
      </c>
      <c r="Z353" s="30" t="s">
        <v>1005</v>
      </c>
      <c r="AA353" s="30" t="n">
        <v>94.64</v>
      </c>
      <c r="AB353" s="30" t="s">
        <v>1005</v>
      </c>
      <c r="AC353" s="30" t="n">
        <v>36.27</v>
      </c>
      <c r="AD353" s="30" t="s">
        <v>1005</v>
      </c>
      <c r="AE353" s="30" t="n">
        <v>20.44</v>
      </c>
      <c r="AF353" s="30" t="s">
        <v>1005</v>
      </c>
      <c r="AG353" s="30" t="n">
        <v>0</v>
      </c>
      <c r="AH353" s="30" t="s">
        <v>1005</v>
      </c>
      <c r="AI353" s="30" t="n">
        <v>0</v>
      </c>
      <c r="AJ353" s="30" t="s">
        <v>1005</v>
      </c>
      <c r="AK353" s="30" t="n">
        <v>0</v>
      </c>
      <c r="AL353" s="30" t="s">
        <v>1005</v>
      </c>
      <c r="AM353" s="30" t="n">
        <v>0</v>
      </c>
      <c r="AN353" s="30" t="s">
        <v>1005</v>
      </c>
      <c r="AO353" s="30" t="n">
        <v>75.48</v>
      </c>
      <c r="AP353" s="30" t="s">
        <v>1006</v>
      </c>
      <c r="AQ353" s="30" t="n">
        <v>47.02</v>
      </c>
      <c r="AR353" s="30" t="s">
        <v>1005</v>
      </c>
      <c r="AS353" s="30" t="n">
        <v>59.86</v>
      </c>
      <c r="AT353" s="30" t="s">
        <v>1005</v>
      </c>
      <c r="AU353" s="30" t="n">
        <v>505.12</v>
      </c>
      <c r="AV353" s="30" t="n">
        <v>0.268</v>
      </c>
      <c r="AW353" s="30" t="s">
        <v>1013</v>
      </c>
      <c r="AX353" s="30" t="s">
        <v>1008</v>
      </c>
      <c r="AY353" s="30" t="n">
        <v>1</v>
      </c>
      <c r="AZ353" s="30"/>
    </row>
    <row collapsed="false" customFormat="true" customHeight="true" hidden="false" ht="33" outlineLevel="0" r="354" s="73">
      <c r="A354" s="30" t="n">
        <v>383</v>
      </c>
      <c r="B354" s="30" t="s">
        <v>560</v>
      </c>
      <c r="C354" s="30" t="s">
        <v>1009</v>
      </c>
      <c r="D354" s="30" t="s">
        <v>999</v>
      </c>
      <c r="E354" s="30" t="s">
        <v>1010</v>
      </c>
      <c r="F354" s="30" t="s">
        <v>1011</v>
      </c>
      <c r="G354" s="30" t="s">
        <v>1002</v>
      </c>
      <c r="H354" s="30" t="s">
        <v>1003</v>
      </c>
      <c r="I354" s="30" t="n">
        <v>1</v>
      </c>
      <c r="J354" s="30"/>
      <c r="K354" s="30" t="n">
        <v>57</v>
      </c>
      <c r="L354" s="30"/>
      <c r="M354" s="30" t="s">
        <v>1012</v>
      </c>
      <c r="N354" s="30" t="s">
        <v>54</v>
      </c>
      <c r="O354" s="30"/>
      <c r="P354" s="30"/>
      <c r="Q354" s="30"/>
      <c r="R354" s="30"/>
      <c r="S354" s="30"/>
      <c r="T354" s="30"/>
      <c r="U354" s="30" t="n">
        <v>171.44</v>
      </c>
      <c r="V354" s="30" t="n">
        <v>268.35</v>
      </c>
      <c r="W354" s="30" t="n">
        <v>53.97</v>
      </c>
      <c r="X354" s="30" t="s">
        <v>1005</v>
      </c>
      <c r="Y354" s="30" t="n">
        <v>37.09</v>
      </c>
      <c r="Z354" s="30" t="s">
        <v>1005</v>
      </c>
      <c r="AA354" s="30" t="n">
        <v>45.13</v>
      </c>
      <c r="AB354" s="30" t="s">
        <v>1005</v>
      </c>
      <c r="AC354" s="30" t="n">
        <v>14.42</v>
      </c>
      <c r="AD354" s="30" t="s">
        <v>1005</v>
      </c>
      <c r="AE354" s="30" t="n">
        <v>7.54</v>
      </c>
      <c r="AF354" s="30" t="s">
        <v>1005</v>
      </c>
      <c r="AG354" s="30" t="n">
        <v>0</v>
      </c>
      <c r="AH354" s="30" t="s">
        <v>1005</v>
      </c>
      <c r="AI354" s="30" t="n">
        <v>0</v>
      </c>
      <c r="AJ354" s="30" t="s">
        <v>1005</v>
      </c>
      <c r="AK354" s="30" t="n">
        <v>0</v>
      </c>
      <c r="AL354" s="30" t="s">
        <v>1005</v>
      </c>
      <c r="AM354" s="30" t="n">
        <v>0</v>
      </c>
      <c r="AN354" s="30" t="s">
        <v>1005</v>
      </c>
      <c r="AO354" s="30" t="n">
        <v>21.27</v>
      </c>
      <c r="AP354" s="30" t="s">
        <v>1006</v>
      </c>
      <c r="AQ354" s="30" t="n">
        <v>12.62</v>
      </c>
      <c r="AR354" s="30" t="s">
        <v>1005</v>
      </c>
      <c r="AS354" s="30" t="n">
        <v>25.39</v>
      </c>
      <c r="AT354" s="30" t="s">
        <v>1005</v>
      </c>
      <c r="AU354" s="30" t="n">
        <v>217.43</v>
      </c>
      <c r="AV354" s="30" t="n">
        <v>0.10192</v>
      </c>
      <c r="AW354" s="30" t="s">
        <v>1013</v>
      </c>
      <c r="AX354" s="30" t="s">
        <v>1008</v>
      </c>
      <c r="AY354" s="30" t="n">
        <v>1</v>
      </c>
      <c r="AZ354" s="30"/>
    </row>
    <row collapsed="false" customFormat="true" customHeight="true" hidden="false" ht="33" outlineLevel="0" r="355" s="73">
      <c r="A355" s="30" t="n">
        <v>384</v>
      </c>
      <c r="B355" s="30" t="s">
        <v>561</v>
      </c>
      <c r="C355" s="30" t="s">
        <v>1009</v>
      </c>
      <c r="D355" s="30" t="s">
        <v>999</v>
      </c>
      <c r="E355" s="30" t="s">
        <v>1010</v>
      </c>
      <c r="F355" s="30" t="s">
        <v>1011</v>
      </c>
      <c r="G355" s="30" t="s">
        <v>1002</v>
      </c>
      <c r="H355" s="30" t="s">
        <v>1003</v>
      </c>
      <c r="I355" s="30" t="n">
        <v>1</v>
      </c>
      <c r="J355" s="30"/>
      <c r="K355" s="30" t="n">
        <v>57</v>
      </c>
      <c r="L355" s="30"/>
      <c r="M355" s="30" t="s">
        <v>1012</v>
      </c>
      <c r="N355" s="30" t="s">
        <v>54</v>
      </c>
      <c r="O355" s="30"/>
      <c r="P355" s="30"/>
      <c r="Q355" s="30"/>
      <c r="R355" s="30"/>
      <c r="S355" s="30"/>
      <c r="T355" s="30"/>
      <c r="U355" s="30" t="n">
        <v>318.21</v>
      </c>
      <c r="V355" s="30" t="n">
        <v>303.52</v>
      </c>
      <c r="W355" s="30" t="n">
        <v>43.34</v>
      </c>
      <c r="X355" s="30" t="s">
        <v>1005</v>
      </c>
      <c r="Y355" s="30" t="n">
        <v>35.37</v>
      </c>
      <c r="Z355" s="30" t="s">
        <v>1005</v>
      </c>
      <c r="AA355" s="30" t="n">
        <v>41.6</v>
      </c>
      <c r="AB355" s="30" t="s">
        <v>1005</v>
      </c>
      <c r="AC355" s="30" t="n">
        <v>25.36</v>
      </c>
      <c r="AD355" s="30" t="s">
        <v>1005</v>
      </c>
      <c r="AE355" s="30" t="n">
        <v>9.87</v>
      </c>
      <c r="AF355" s="30" t="s">
        <v>1006</v>
      </c>
      <c r="AG355" s="30" t="n">
        <v>0</v>
      </c>
      <c r="AH355" s="30" t="s">
        <v>1006</v>
      </c>
      <c r="AI355" s="30" t="n">
        <v>0</v>
      </c>
      <c r="AJ355" s="30" t="s">
        <v>1006</v>
      </c>
      <c r="AK355" s="30" t="n">
        <v>0</v>
      </c>
      <c r="AL355" s="30" t="s">
        <v>1006</v>
      </c>
      <c r="AM355" s="30" t="n">
        <v>0</v>
      </c>
      <c r="AN355" s="30" t="s">
        <v>1006</v>
      </c>
      <c r="AO355" s="30" t="n">
        <v>33.09</v>
      </c>
      <c r="AP355" s="30" t="s">
        <v>1006</v>
      </c>
      <c r="AQ355" s="30" t="n">
        <v>19.89</v>
      </c>
      <c r="AR355" s="30" t="s">
        <v>1005</v>
      </c>
      <c r="AS355" s="30" t="n">
        <v>38.05</v>
      </c>
      <c r="AT355" s="30" t="s">
        <v>1005</v>
      </c>
      <c r="AU355" s="30" t="n">
        <v>246.57</v>
      </c>
      <c r="AV355" s="30" t="n">
        <v>0.184</v>
      </c>
      <c r="AW355" s="30" t="s">
        <v>1013</v>
      </c>
      <c r="AX355" s="30" t="s">
        <v>1008</v>
      </c>
      <c r="AY355" s="30" t="n">
        <v>1</v>
      </c>
      <c r="AZ355" s="30"/>
    </row>
    <row collapsed="false" customFormat="true" customHeight="true" hidden="false" ht="33" outlineLevel="0" r="356" s="73">
      <c r="A356" s="30" t="n">
        <v>385</v>
      </c>
      <c r="B356" s="30" t="s">
        <v>562</v>
      </c>
      <c r="C356" s="30" t="s">
        <v>1009</v>
      </c>
      <c r="D356" s="30" t="s">
        <v>999</v>
      </c>
      <c r="E356" s="30" t="s">
        <v>1010</v>
      </c>
      <c r="F356" s="30" t="s">
        <v>1011</v>
      </c>
      <c r="G356" s="30" t="s">
        <v>1002</v>
      </c>
      <c r="H356" s="30" t="s">
        <v>1003</v>
      </c>
      <c r="I356" s="30" t="n">
        <v>1</v>
      </c>
      <c r="J356" s="30"/>
      <c r="K356" s="30" t="n">
        <v>57</v>
      </c>
      <c r="L356" s="30"/>
      <c r="M356" s="30" t="s">
        <v>1012</v>
      </c>
      <c r="N356" s="30" t="s">
        <v>54</v>
      </c>
      <c r="O356" s="30"/>
      <c r="P356" s="30"/>
      <c r="Q356" s="30"/>
      <c r="R356" s="30"/>
      <c r="S356" s="30"/>
      <c r="T356" s="30"/>
      <c r="U356" s="30" t="n">
        <v>531.66</v>
      </c>
      <c r="V356" s="30" t="n">
        <v>885.94</v>
      </c>
      <c r="W356" s="30" t="n">
        <v>157.79</v>
      </c>
      <c r="X356" s="30" t="s">
        <v>1005</v>
      </c>
      <c r="Y356" s="30" t="n">
        <v>106.43</v>
      </c>
      <c r="Z356" s="30" t="s">
        <v>1005</v>
      </c>
      <c r="AA356" s="30" t="n">
        <v>93.91</v>
      </c>
      <c r="AB356" s="30" t="s">
        <v>1006</v>
      </c>
      <c r="AC356" s="30" t="n">
        <v>58.3</v>
      </c>
      <c r="AD356" s="30" t="s">
        <v>1005</v>
      </c>
      <c r="AE356" s="30" t="n">
        <v>27.19</v>
      </c>
      <c r="AF356" s="30" t="s">
        <v>1005</v>
      </c>
      <c r="AG356" s="30" t="n">
        <v>0</v>
      </c>
      <c r="AH356" s="30" t="s">
        <v>1005</v>
      </c>
      <c r="AI356" s="30" t="n">
        <v>0</v>
      </c>
      <c r="AJ356" s="30" t="s">
        <v>1005</v>
      </c>
      <c r="AK356" s="30" t="n">
        <v>0</v>
      </c>
      <c r="AL356" s="30" t="s">
        <v>1005</v>
      </c>
      <c r="AM356" s="30" t="n">
        <v>0</v>
      </c>
      <c r="AN356" s="30" t="s">
        <v>1005</v>
      </c>
      <c r="AO356" s="30" t="n">
        <v>68.39</v>
      </c>
      <c r="AP356" s="30" t="s">
        <v>1005</v>
      </c>
      <c r="AQ356" s="30" t="n">
        <v>66.04</v>
      </c>
      <c r="AR356" s="30" t="s">
        <v>1005</v>
      </c>
      <c r="AS356" s="30" t="n">
        <v>86.82</v>
      </c>
      <c r="AT356" s="30" t="s">
        <v>1005</v>
      </c>
      <c r="AU356" s="30" t="n">
        <v>664.87</v>
      </c>
      <c r="AV356" s="30" t="n">
        <v>0.32137</v>
      </c>
      <c r="AW356" s="30" t="s">
        <v>1013</v>
      </c>
      <c r="AX356" s="30" t="s">
        <v>1008</v>
      </c>
      <c r="AY356" s="30" t="n">
        <v>1</v>
      </c>
      <c r="AZ356" s="30"/>
    </row>
    <row collapsed="false" customFormat="true" customHeight="true" hidden="false" ht="33" outlineLevel="0" r="357" s="73">
      <c r="A357" s="30" t="n">
        <v>386</v>
      </c>
      <c r="B357" s="30" t="s">
        <v>563</v>
      </c>
      <c r="C357" s="30" t="s">
        <v>1009</v>
      </c>
      <c r="D357" s="30" t="s">
        <v>999</v>
      </c>
      <c r="E357" s="30" t="s">
        <v>1010</v>
      </c>
      <c r="F357" s="30" t="s">
        <v>1011</v>
      </c>
      <c r="G357" s="30" t="s">
        <v>1002</v>
      </c>
      <c r="H357" s="30" t="s">
        <v>1003</v>
      </c>
      <c r="I357" s="30" t="n">
        <v>1</v>
      </c>
      <c r="J357" s="30"/>
      <c r="K357" s="30" t="n">
        <v>57</v>
      </c>
      <c r="L357" s="30"/>
      <c r="M357" s="30" t="s">
        <v>1012</v>
      </c>
      <c r="N357" s="30" t="s">
        <v>54</v>
      </c>
      <c r="O357" s="30"/>
      <c r="P357" s="30"/>
      <c r="Q357" s="30"/>
      <c r="R357" s="30"/>
      <c r="S357" s="30"/>
      <c r="T357" s="30"/>
      <c r="U357" s="30" t="n">
        <v>301.36</v>
      </c>
      <c r="V357" s="30" t="n">
        <v>513.52</v>
      </c>
      <c r="W357" s="30" t="n">
        <v>80.26</v>
      </c>
      <c r="X357" s="30" t="s">
        <v>1005</v>
      </c>
      <c r="Y357" s="30" t="n">
        <v>60.22</v>
      </c>
      <c r="Z357" s="30" t="s">
        <v>1005</v>
      </c>
      <c r="AA357" s="30" t="n">
        <v>71.89</v>
      </c>
      <c r="AB357" s="30" t="s">
        <v>1005</v>
      </c>
      <c r="AC357" s="30" t="n">
        <v>30.36</v>
      </c>
      <c r="AD357" s="30" t="s">
        <v>1005</v>
      </c>
      <c r="AE357" s="30" t="n">
        <v>16.35</v>
      </c>
      <c r="AF357" s="30" t="s">
        <v>1005</v>
      </c>
      <c r="AG357" s="30" t="n">
        <v>0</v>
      </c>
      <c r="AH357" s="30" t="s">
        <v>1005</v>
      </c>
      <c r="AI357" s="30" t="n">
        <v>0</v>
      </c>
      <c r="AJ357" s="30" t="s">
        <v>1005</v>
      </c>
      <c r="AK357" s="30" t="n">
        <v>0</v>
      </c>
      <c r="AL357" s="30" t="s">
        <v>1005</v>
      </c>
      <c r="AM357" s="30" t="n">
        <v>0</v>
      </c>
      <c r="AN357" s="30" t="s">
        <v>1005</v>
      </c>
      <c r="AO357" s="30" t="n">
        <v>25.21</v>
      </c>
      <c r="AP357" s="30" t="s">
        <v>1006</v>
      </c>
      <c r="AQ357" s="30" t="n">
        <v>28.21</v>
      </c>
      <c r="AR357" s="30" t="s">
        <v>1005</v>
      </c>
      <c r="AS357" s="30" t="n">
        <v>45.9</v>
      </c>
      <c r="AT357" s="30" t="s">
        <v>1005</v>
      </c>
      <c r="AU357" s="30" t="n">
        <v>358.4</v>
      </c>
      <c r="AV357" s="30" t="n">
        <v>0.17488</v>
      </c>
      <c r="AW357" s="30" t="s">
        <v>1013</v>
      </c>
      <c r="AX357" s="30" t="s">
        <v>1008</v>
      </c>
      <c r="AY357" s="30" t="n">
        <v>1</v>
      </c>
      <c r="AZ357" s="30"/>
    </row>
    <row collapsed="false" customFormat="true" customHeight="true" hidden="false" ht="33" outlineLevel="0" r="358" s="73">
      <c r="A358" s="30" t="n">
        <v>387</v>
      </c>
      <c r="B358" s="30" t="s">
        <v>564</v>
      </c>
      <c r="C358" s="30" t="s">
        <v>1009</v>
      </c>
      <c r="D358" s="30" t="s">
        <v>999</v>
      </c>
      <c r="E358" s="30" t="s">
        <v>1010</v>
      </c>
      <c r="F358" s="30" t="s">
        <v>1011</v>
      </c>
      <c r="G358" s="30" t="s">
        <v>1002</v>
      </c>
      <c r="H358" s="30" t="s">
        <v>1003</v>
      </c>
      <c r="I358" s="30" t="n">
        <v>1</v>
      </c>
      <c r="J358" s="30"/>
      <c r="K358" s="30" t="n">
        <v>57</v>
      </c>
      <c r="L358" s="30"/>
      <c r="M358" s="30" t="s">
        <v>1012</v>
      </c>
      <c r="N358" s="30" t="s">
        <v>54</v>
      </c>
      <c r="O358" s="30"/>
      <c r="P358" s="30"/>
      <c r="Q358" s="30"/>
      <c r="R358" s="30"/>
      <c r="S358" s="30"/>
      <c r="T358" s="30"/>
      <c r="U358" s="30" t="n">
        <v>258.49</v>
      </c>
      <c r="V358" s="30" t="n">
        <v>308.42</v>
      </c>
      <c r="W358" s="30" t="n">
        <v>33.98</v>
      </c>
      <c r="X358" s="30" t="s">
        <v>1006</v>
      </c>
      <c r="Y358" s="30" t="n">
        <v>40.25</v>
      </c>
      <c r="Z358" s="30" t="s">
        <v>1005</v>
      </c>
      <c r="AA358" s="30" t="n">
        <v>45.74</v>
      </c>
      <c r="AB358" s="30" t="s">
        <v>1005</v>
      </c>
      <c r="AC358" s="30" t="n">
        <v>20.96</v>
      </c>
      <c r="AD358" s="30" t="s">
        <v>1005</v>
      </c>
      <c r="AE358" s="30" t="n">
        <v>11.12</v>
      </c>
      <c r="AF358" s="30" t="s">
        <v>1005</v>
      </c>
      <c r="AG358" s="30" t="n">
        <v>0</v>
      </c>
      <c r="AH358" s="30" t="s">
        <v>1005</v>
      </c>
      <c r="AI358" s="30" t="n">
        <v>0</v>
      </c>
      <c r="AJ358" s="30" t="s">
        <v>1005</v>
      </c>
      <c r="AK358" s="30" t="n">
        <v>0</v>
      </c>
      <c r="AL358" s="30" t="s">
        <v>1005</v>
      </c>
      <c r="AM358" s="30" t="n">
        <v>0</v>
      </c>
      <c r="AN358" s="30" t="s">
        <v>1005</v>
      </c>
      <c r="AO358" s="30" t="n">
        <v>20.98</v>
      </c>
      <c r="AP358" s="30" t="s">
        <v>1005</v>
      </c>
      <c r="AQ358" s="30" t="n">
        <v>23.07</v>
      </c>
      <c r="AR358" s="30" t="s">
        <v>1005</v>
      </c>
      <c r="AS358" s="30" t="n">
        <v>35.56</v>
      </c>
      <c r="AT358" s="30" t="s">
        <v>1005</v>
      </c>
      <c r="AU358" s="30" t="n">
        <v>231.66</v>
      </c>
      <c r="AV358" s="30" t="n">
        <v>0.14745</v>
      </c>
      <c r="AW358" s="30" t="s">
        <v>1013</v>
      </c>
      <c r="AX358" s="30" t="s">
        <v>1008</v>
      </c>
      <c r="AY358" s="30" t="n">
        <v>1</v>
      </c>
      <c r="AZ358" s="30"/>
    </row>
    <row collapsed="false" customFormat="true" customHeight="true" hidden="false" ht="33" outlineLevel="0" r="359" s="73">
      <c r="A359" s="30" t="n">
        <v>388</v>
      </c>
      <c r="B359" s="30" t="s">
        <v>565</v>
      </c>
      <c r="C359" s="30" t="s">
        <v>1009</v>
      </c>
      <c r="D359" s="30" t="s">
        <v>999</v>
      </c>
      <c r="E359" s="30" t="s">
        <v>1010</v>
      </c>
      <c r="F359" s="30" t="s">
        <v>1011</v>
      </c>
      <c r="G359" s="30" t="s">
        <v>1002</v>
      </c>
      <c r="H359" s="30" t="s">
        <v>1003</v>
      </c>
      <c r="I359" s="30" t="n">
        <v>1</v>
      </c>
      <c r="J359" s="30"/>
      <c r="K359" s="30" t="n">
        <v>57</v>
      </c>
      <c r="L359" s="30"/>
      <c r="M359" s="30" t="s">
        <v>1012</v>
      </c>
      <c r="N359" s="30" t="s">
        <v>54</v>
      </c>
      <c r="O359" s="30"/>
      <c r="P359" s="30"/>
      <c r="Q359" s="30"/>
      <c r="R359" s="30"/>
      <c r="S359" s="30"/>
      <c r="T359" s="30"/>
      <c r="U359" s="30" t="n">
        <v>173.73</v>
      </c>
      <c r="V359" s="30" t="n">
        <v>245.45</v>
      </c>
      <c r="W359" s="30" t="n">
        <v>23.22</v>
      </c>
      <c r="X359" s="30" t="s">
        <v>1006</v>
      </c>
      <c r="Y359" s="30" t="n">
        <v>35.63</v>
      </c>
      <c r="Z359" s="30" t="s">
        <v>1005</v>
      </c>
      <c r="AA359" s="30" t="n">
        <v>23.22</v>
      </c>
      <c r="AB359" s="30" t="s">
        <v>1006</v>
      </c>
      <c r="AC359" s="30" t="n">
        <v>19.46</v>
      </c>
      <c r="AD359" s="30" t="s">
        <v>1005</v>
      </c>
      <c r="AE359" s="30" t="n">
        <v>9.31</v>
      </c>
      <c r="AF359" s="30" t="s">
        <v>1005</v>
      </c>
      <c r="AG359" s="30" t="n">
        <v>0</v>
      </c>
      <c r="AH359" s="30" t="s">
        <v>1005</v>
      </c>
      <c r="AI359" s="30" t="n">
        <v>0</v>
      </c>
      <c r="AJ359" s="30" t="s">
        <v>1005</v>
      </c>
      <c r="AK359" s="30" t="n">
        <v>0</v>
      </c>
      <c r="AL359" s="30" t="s">
        <v>1005</v>
      </c>
      <c r="AM359" s="30" t="n">
        <v>0</v>
      </c>
      <c r="AN359" s="30" t="s">
        <v>1005</v>
      </c>
      <c r="AO359" s="30" t="n">
        <v>20.37</v>
      </c>
      <c r="AP359" s="30" t="s">
        <v>1005</v>
      </c>
      <c r="AQ359" s="30" t="n">
        <v>19.51</v>
      </c>
      <c r="AR359" s="30" t="s">
        <v>1005</v>
      </c>
      <c r="AS359" s="30" t="n">
        <v>24.49</v>
      </c>
      <c r="AT359" s="30" t="s">
        <v>1005</v>
      </c>
      <c r="AU359" s="30" t="n">
        <v>175.21</v>
      </c>
      <c r="AV359" s="30" t="n">
        <v>0.098</v>
      </c>
      <c r="AW359" s="30" t="s">
        <v>1013</v>
      </c>
      <c r="AX359" s="30" t="s">
        <v>1008</v>
      </c>
      <c r="AY359" s="30" t="n">
        <v>1</v>
      </c>
      <c r="AZ359" s="30"/>
    </row>
    <row collapsed="false" customFormat="true" customHeight="true" hidden="false" ht="33" outlineLevel="0" r="360" s="73">
      <c r="A360" s="30" t="n">
        <v>389</v>
      </c>
      <c r="B360" s="30" t="s">
        <v>566</v>
      </c>
      <c r="C360" s="30" t="s">
        <v>1009</v>
      </c>
      <c r="D360" s="30" t="s">
        <v>999</v>
      </c>
      <c r="E360" s="30" t="s">
        <v>1010</v>
      </c>
      <c r="F360" s="30" t="s">
        <v>1011</v>
      </c>
      <c r="G360" s="30" t="s">
        <v>1002</v>
      </c>
      <c r="H360" s="30" t="s">
        <v>1003</v>
      </c>
      <c r="I360" s="30" t="n">
        <v>1</v>
      </c>
      <c r="J360" s="30"/>
      <c r="K360" s="30" t="n">
        <v>57</v>
      </c>
      <c r="L360" s="30"/>
      <c r="M360" s="30" t="s">
        <v>1012</v>
      </c>
      <c r="N360" s="30" t="s">
        <v>54</v>
      </c>
      <c r="O360" s="30"/>
      <c r="P360" s="30"/>
      <c r="Q360" s="30"/>
      <c r="R360" s="30"/>
      <c r="S360" s="30"/>
      <c r="T360" s="30"/>
      <c r="U360" s="30" t="n">
        <v>247.14</v>
      </c>
      <c r="V360" s="30" t="n">
        <v>317.56</v>
      </c>
      <c r="W360" s="30" t="n">
        <v>57.54</v>
      </c>
      <c r="X360" s="30" t="s">
        <v>1005</v>
      </c>
      <c r="Y360" s="30" t="n">
        <v>47.75</v>
      </c>
      <c r="Z360" s="30" t="s">
        <v>1005</v>
      </c>
      <c r="AA360" s="30" t="n">
        <v>60.39</v>
      </c>
      <c r="AB360" s="30" t="s">
        <v>1005</v>
      </c>
      <c r="AC360" s="30" t="n">
        <v>22.75</v>
      </c>
      <c r="AD360" s="30" t="s">
        <v>1005</v>
      </c>
      <c r="AE360" s="30" t="n">
        <v>12.34</v>
      </c>
      <c r="AF360" s="30" t="s">
        <v>1005</v>
      </c>
      <c r="AG360" s="30" t="n">
        <v>0</v>
      </c>
      <c r="AH360" s="30" t="s">
        <v>1005</v>
      </c>
      <c r="AI360" s="30" t="n">
        <v>0</v>
      </c>
      <c r="AJ360" s="30" t="s">
        <v>1005</v>
      </c>
      <c r="AK360" s="30" t="n">
        <v>0</v>
      </c>
      <c r="AL360" s="30" t="s">
        <v>1005</v>
      </c>
      <c r="AM360" s="30" t="n">
        <v>0</v>
      </c>
      <c r="AN360" s="30" t="s">
        <v>1005</v>
      </c>
      <c r="AO360" s="30" t="n">
        <v>25.68</v>
      </c>
      <c r="AP360" s="30" t="s">
        <v>1005</v>
      </c>
      <c r="AQ360" s="30" t="n">
        <v>42.2</v>
      </c>
      <c r="AR360" s="30" t="s">
        <v>1005</v>
      </c>
      <c r="AS360" s="30" t="n">
        <v>31.66</v>
      </c>
      <c r="AT360" s="30" t="s">
        <v>1005</v>
      </c>
      <c r="AU360" s="30" t="n">
        <v>300.31</v>
      </c>
      <c r="AV360" s="30" t="n">
        <v>0.143</v>
      </c>
      <c r="AW360" s="30" t="s">
        <v>1013</v>
      </c>
      <c r="AX360" s="30" t="s">
        <v>1008</v>
      </c>
      <c r="AY360" s="30" t="n">
        <v>1</v>
      </c>
      <c r="AZ360" s="30"/>
    </row>
    <row collapsed="false" customFormat="true" customHeight="true" hidden="false" ht="33" outlineLevel="0" r="361" s="73">
      <c r="A361" s="30" t="n">
        <v>390</v>
      </c>
      <c r="B361" s="30" t="s">
        <v>567</v>
      </c>
      <c r="C361" s="30" t="s">
        <v>1009</v>
      </c>
      <c r="D361" s="30" t="s">
        <v>999</v>
      </c>
      <c r="E361" s="30" t="s">
        <v>1010</v>
      </c>
      <c r="F361" s="30" t="s">
        <v>1011</v>
      </c>
      <c r="G361" s="30" t="s">
        <v>1002</v>
      </c>
      <c r="H361" s="30" t="s">
        <v>1003</v>
      </c>
      <c r="I361" s="30" t="n">
        <v>1</v>
      </c>
      <c r="J361" s="30"/>
      <c r="K361" s="30" t="n">
        <v>57</v>
      </c>
      <c r="L361" s="30"/>
      <c r="M361" s="30" t="s">
        <v>1012</v>
      </c>
      <c r="N361" s="30" t="s">
        <v>54</v>
      </c>
      <c r="O361" s="30"/>
      <c r="P361" s="30"/>
      <c r="Q361" s="30"/>
      <c r="R361" s="30"/>
      <c r="S361" s="30"/>
      <c r="T361" s="30"/>
      <c r="U361" s="30" t="n">
        <v>259.18</v>
      </c>
      <c r="V361" s="30" t="n">
        <v>362.5</v>
      </c>
      <c r="W361" s="30" t="n">
        <v>45.13</v>
      </c>
      <c r="X361" s="30" t="s">
        <v>1005</v>
      </c>
      <c r="Y361" s="30" t="n">
        <v>39.35</v>
      </c>
      <c r="Z361" s="30" t="s">
        <v>1005</v>
      </c>
      <c r="AA361" s="30" t="n">
        <v>35.91</v>
      </c>
      <c r="AB361" s="30" t="s">
        <v>1006</v>
      </c>
      <c r="AC361" s="30" t="n">
        <v>35.91</v>
      </c>
      <c r="AD361" s="30" t="s">
        <v>1006</v>
      </c>
      <c r="AE361" s="30" t="n">
        <v>10.43</v>
      </c>
      <c r="AF361" s="30" t="s">
        <v>1006</v>
      </c>
      <c r="AG361" s="30" t="n">
        <v>0</v>
      </c>
      <c r="AH361" s="30" t="s">
        <v>1006</v>
      </c>
      <c r="AI361" s="30" t="n">
        <v>0</v>
      </c>
      <c r="AJ361" s="30" t="s">
        <v>1006</v>
      </c>
      <c r="AK361" s="30" t="n">
        <v>0</v>
      </c>
      <c r="AL361" s="30" t="s">
        <v>1006</v>
      </c>
      <c r="AM361" s="30" t="n">
        <v>0</v>
      </c>
      <c r="AN361" s="30" t="s">
        <v>1006</v>
      </c>
      <c r="AO361" s="30" t="n">
        <v>21.99</v>
      </c>
      <c r="AP361" s="30" t="s">
        <v>1005</v>
      </c>
      <c r="AQ361" s="30" t="n">
        <v>26.76</v>
      </c>
      <c r="AR361" s="30" t="s">
        <v>1005</v>
      </c>
      <c r="AS361" s="30" t="n">
        <v>37.6</v>
      </c>
      <c r="AT361" s="30" t="s">
        <v>1005</v>
      </c>
      <c r="AU361" s="30" t="n">
        <v>253.08</v>
      </c>
      <c r="AV361" s="30" t="n">
        <v>0.143</v>
      </c>
      <c r="AW361" s="30" t="s">
        <v>1013</v>
      </c>
      <c r="AX361" s="30" t="s">
        <v>1008</v>
      </c>
      <c r="AY361" s="30" t="n">
        <v>1</v>
      </c>
      <c r="AZ361" s="30"/>
    </row>
    <row collapsed="false" customFormat="true" customHeight="true" hidden="false" ht="33" outlineLevel="0" r="362" s="73">
      <c r="A362" s="30" t="n">
        <v>391</v>
      </c>
      <c r="B362" s="30" t="s">
        <v>568</v>
      </c>
      <c r="C362" s="30" t="s">
        <v>1009</v>
      </c>
      <c r="D362" s="30" t="s">
        <v>999</v>
      </c>
      <c r="E362" s="30" t="s">
        <v>1010</v>
      </c>
      <c r="F362" s="30" t="s">
        <v>1011</v>
      </c>
      <c r="G362" s="30" t="s">
        <v>1002</v>
      </c>
      <c r="H362" s="30" t="s">
        <v>1003</v>
      </c>
      <c r="I362" s="30" t="n">
        <v>1</v>
      </c>
      <c r="J362" s="30"/>
      <c r="K362" s="30" t="n">
        <v>57</v>
      </c>
      <c r="L362" s="30"/>
      <c r="M362" s="30" t="s">
        <v>1012</v>
      </c>
      <c r="N362" s="30" t="s">
        <v>54</v>
      </c>
      <c r="O362" s="30"/>
      <c r="P362" s="30"/>
      <c r="Q362" s="30"/>
      <c r="R362" s="30"/>
      <c r="S362" s="30"/>
      <c r="T362" s="30"/>
      <c r="U362" s="30" t="n">
        <v>170.39</v>
      </c>
      <c r="V362" s="30" t="n">
        <v>269.92</v>
      </c>
      <c r="W362" s="30" t="n">
        <v>56.48</v>
      </c>
      <c r="X362" s="30" t="s">
        <v>1005</v>
      </c>
      <c r="Y362" s="30" t="n">
        <v>31.35</v>
      </c>
      <c r="Z362" s="30" t="s">
        <v>1005</v>
      </c>
      <c r="AA362" s="30" t="n">
        <v>36.54</v>
      </c>
      <c r="AB362" s="30" t="s">
        <v>1005</v>
      </c>
      <c r="AC362" s="30" t="n">
        <v>13.19</v>
      </c>
      <c r="AD362" s="30" t="s">
        <v>1005</v>
      </c>
      <c r="AE362" s="30" t="n">
        <v>8.82</v>
      </c>
      <c r="AF362" s="30" t="s">
        <v>1005</v>
      </c>
      <c r="AG362" s="30" t="n">
        <v>0</v>
      </c>
      <c r="AH362" s="30" t="s">
        <v>1005</v>
      </c>
      <c r="AI362" s="30" t="n">
        <v>0</v>
      </c>
      <c r="AJ362" s="30" t="s">
        <v>1005</v>
      </c>
      <c r="AK362" s="30" t="n">
        <v>0</v>
      </c>
      <c r="AL362" s="30" t="s">
        <v>1005</v>
      </c>
      <c r="AM362" s="30" t="n">
        <v>0</v>
      </c>
      <c r="AN362" s="30" t="s">
        <v>1005</v>
      </c>
      <c r="AO362" s="30" t="n">
        <v>17.07</v>
      </c>
      <c r="AP362" s="30" t="s">
        <v>1005</v>
      </c>
      <c r="AQ362" s="30" t="n">
        <v>17.08</v>
      </c>
      <c r="AR362" s="30" t="s">
        <v>1005</v>
      </c>
      <c r="AS362" s="30" t="n">
        <v>23.25</v>
      </c>
      <c r="AT362" s="30" t="s">
        <v>1005</v>
      </c>
      <c r="AU362" s="30" t="n">
        <v>203.78</v>
      </c>
      <c r="AV362" s="30" t="n">
        <v>0.098</v>
      </c>
      <c r="AW362" s="30" t="s">
        <v>1013</v>
      </c>
      <c r="AX362" s="30" t="s">
        <v>1008</v>
      </c>
      <c r="AY362" s="30" t="n">
        <v>1</v>
      </c>
      <c r="AZ362" s="30"/>
    </row>
    <row collapsed="false" customFormat="true" customHeight="true" hidden="false" ht="33" outlineLevel="0" r="363" s="73">
      <c r="A363" s="30" t="n">
        <v>392</v>
      </c>
      <c r="B363" s="30" t="s">
        <v>570</v>
      </c>
      <c r="C363" s="30" t="s">
        <v>1009</v>
      </c>
      <c r="D363" s="30" t="s">
        <v>999</v>
      </c>
      <c r="E363" s="30" t="s">
        <v>1010</v>
      </c>
      <c r="F363" s="30" t="s">
        <v>1011</v>
      </c>
      <c r="G363" s="30" t="s">
        <v>1002</v>
      </c>
      <c r="H363" s="30" t="s">
        <v>1003</v>
      </c>
      <c r="I363" s="30" t="n">
        <v>1</v>
      </c>
      <c r="J363" s="30"/>
      <c r="K363" s="30" t="n">
        <v>57</v>
      </c>
      <c r="L363" s="30"/>
      <c r="M363" s="30" t="s">
        <v>1012</v>
      </c>
      <c r="N363" s="30" t="s">
        <v>54</v>
      </c>
      <c r="O363" s="30"/>
      <c r="P363" s="30"/>
      <c r="Q363" s="30"/>
      <c r="R363" s="30"/>
      <c r="S363" s="30"/>
      <c r="T363" s="30"/>
      <c r="U363" s="30" t="n">
        <v>648.11</v>
      </c>
      <c r="V363" s="30" t="n">
        <v>643.9</v>
      </c>
      <c r="W363" s="30" t="n">
        <v>110.85</v>
      </c>
      <c r="X363" s="30" t="s">
        <v>1005</v>
      </c>
      <c r="Y363" s="30" t="n">
        <v>98.69</v>
      </c>
      <c r="Z363" s="30" t="s">
        <v>1005</v>
      </c>
      <c r="AA363" s="30" t="n">
        <v>81.83</v>
      </c>
      <c r="AB363" s="30" t="s">
        <v>1006</v>
      </c>
      <c r="AC363" s="30" t="n">
        <v>49.6</v>
      </c>
      <c r="AD363" s="30" t="s">
        <v>1005</v>
      </c>
      <c r="AE363" s="30" t="n">
        <v>23.43</v>
      </c>
      <c r="AF363" s="30" t="s">
        <v>1005</v>
      </c>
      <c r="AG363" s="30" t="n">
        <v>0</v>
      </c>
      <c r="AH363" s="30" t="s">
        <v>1005</v>
      </c>
      <c r="AI363" s="30" t="n">
        <v>0</v>
      </c>
      <c r="AJ363" s="30" t="s">
        <v>1005</v>
      </c>
      <c r="AK363" s="30" t="n">
        <v>0</v>
      </c>
      <c r="AL363" s="30" t="s">
        <v>1005</v>
      </c>
      <c r="AM363" s="30" t="n">
        <v>0</v>
      </c>
      <c r="AN363" s="30" t="s">
        <v>1005</v>
      </c>
      <c r="AO363" s="30" t="n">
        <v>15.98</v>
      </c>
      <c r="AP363" s="30" t="s">
        <v>1005</v>
      </c>
      <c r="AQ363" s="30" t="n">
        <v>54.7</v>
      </c>
      <c r="AR363" s="30" t="s">
        <v>1005</v>
      </c>
      <c r="AS363" s="30" t="n">
        <v>78.8</v>
      </c>
      <c r="AT363" s="30" t="s">
        <v>1005</v>
      </c>
      <c r="AU363" s="30" t="n">
        <v>513.88</v>
      </c>
      <c r="AV363" s="30" t="n">
        <v>0.369</v>
      </c>
      <c r="AW363" s="30" t="s">
        <v>1013</v>
      </c>
      <c r="AX363" s="30" t="s">
        <v>1008</v>
      </c>
      <c r="AY363" s="30" t="n">
        <v>1</v>
      </c>
      <c r="AZ363" s="30"/>
    </row>
    <row collapsed="false" customFormat="true" customHeight="true" hidden="false" ht="33" outlineLevel="0" r="364" s="73">
      <c r="A364" s="30" t="n">
        <v>393</v>
      </c>
      <c r="B364" s="30" t="s">
        <v>571</v>
      </c>
      <c r="C364" s="30" t="s">
        <v>1009</v>
      </c>
      <c r="D364" s="30" t="s">
        <v>999</v>
      </c>
      <c r="E364" s="30" t="s">
        <v>1010</v>
      </c>
      <c r="F364" s="30" t="s">
        <v>1011</v>
      </c>
      <c r="G364" s="30" t="s">
        <v>1002</v>
      </c>
      <c r="H364" s="30" t="s">
        <v>1003</v>
      </c>
      <c r="I364" s="30" t="n">
        <v>1</v>
      </c>
      <c r="J364" s="30"/>
      <c r="K364" s="30" t="n">
        <v>57</v>
      </c>
      <c r="L364" s="30"/>
      <c r="M364" s="30" t="s">
        <v>1012</v>
      </c>
      <c r="N364" s="30" t="s">
        <v>54</v>
      </c>
      <c r="O364" s="30"/>
      <c r="P364" s="30"/>
      <c r="Q364" s="30"/>
      <c r="R364" s="30"/>
      <c r="S364" s="30"/>
      <c r="T364" s="30"/>
      <c r="U364" s="30" t="n">
        <v>683.11</v>
      </c>
      <c r="V364" s="30" t="n">
        <v>731.07</v>
      </c>
      <c r="W364" s="30" t="n">
        <v>125.79</v>
      </c>
      <c r="X364" s="30" t="s">
        <v>1005</v>
      </c>
      <c r="Y364" s="30" t="n">
        <v>99.07</v>
      </c>
      <c r="Z364" s="30" t="s">
        <v>1005</v>
      </c>
      <c r="AA364" s="30" t="n">
        <v>119</v>
      </c>
      <c r="AB364" s="30" t="s">
        <v>1005</v>
      </c>
      <c r="AC364" s="30" t="n">
        <v>39.21</v>
      </c>
      <c r="AD364" s="30" t="s">
        <v>1005</v>
      </c>
      <c r="AE364" s="30" t="n">
        <v>25.98</v>
      </c>
      <c r="AF364" s="30" t="s">
        <v>1005</v>
      </c>
      <c r="AG364" s="30" t="n">
        <v>0</v>
      </c>
      <c r="AH364" s="30" t="s">
        <v>1005</v>
      </c>
      <c r="AI364" s="30" t="n">
        <v>0</v>
      </c>
      <c r="AJ364" s="30" t="s">
        <v>1005</v>
      </c>
      <c r="AK364" s="30" t="n">
        <v>0</v>
      </c>
      <c r="AL364" s="30" t="s">
        <v>1005</v>
      </c>
      <c r="AM364" s="30" t="n">
        <v>0</v>
      </c>
      <c r="AN364" s="30" t="s">
        <v>1005</v>
      </c>
      <c r="AO364" s="30" t="n">
        <v>54.98</v>
      </c>
      <c r="AP364" s="30" t="s">
        <v>1005</v>
      </c>
      <c r="AQ364" s="30" t="n">
        <v>49.66</v>
      </c>
      <c r="AR364" s="30" t="s">
        <v>1005</v>
      </c>
      <c r="AS364" s="30" t="n">
        <v>76.56</v>
      </c>
      <c r="AT364" s="30" t="s">
        <v>1005</v>
      </c>
      <c r="AU364" s="30" t="n">
        <v>590.25</v>
      </c>
      <c r="AV364" s="30" t="n">
        <v>0.431</v>
      </c>
      <c r="AW364" s="30" t="s">
        <v>1013</v>
      </c>
      <c r="AX364" s="30" t="s">
        <v>1008</v>
      </c>
      <c r="AY364" s="30" t="n">
        <v>1</v>
      </c>
      <c r="AZ364" s="30"/>
    </row>
    <row collapsed="false" customFormat="true" customHeight="true" hidden="false" ht="33" outlineLevel="0" r="365" s="73">
      <c r="A365" s="30" t="n">
        <v>394</v>
      </c>
      <c r="B365" s="30" t="s">
        <v>572</v>
      </c>
      <c r="C365" s="30" t="s">
        <v>1009</v>
      </c>
      <c r="D365" s="30" t="s">
        <v>999</v>
      </c>
      <c r="E365" s="30" t="s">
        <v>1010</v>
      </c>
      <c r="F365" s="30" t="s">
        <v>1011</v>
      </c>
      <c r="G365" s="30" t="s">
        <v>1002</v>
      </c>
      <c r="H365" s="30" t="s">
        <v>1003</v>
      </c>
      <c r="I365" s="30" t="n">
        <v>1</v>
      </c>
      <c r="J365" s="30"/>
      <c r="K365" s="30" t="n">
        <v>57</v>
      </c>
      <c r="L365" s="30"/>
      <c r="M365" s="30" t="s">
        <v>1012</v>
      </c>
      <c r="N365" s="30" t="s">
        <v>54</v>
      </c>
      <c r="O365" s="30"/>
      <c r="P365" s="30"/>
      <c r="Q365" s="30"/>
      <c r="R365" s="30"/>
      <c r="S365" s="30"/>
      <c r="T365" s="30"/>
      <c r="U365" s="30" t="n">
        <v>498.79</v>
      </c>
      <c r="V365" s="30" t="n">
        <v>592.81</v>
      </c>
      <c r="W365" s="30" t="n">
        <v>82.37</v>
      </c>
      <c r="X365" s="30" t="s">
        <v>1006</v>
      </c>
      <c r="Y365" s="30" t="n">
        <v>62.77</v>
      </c>
      <c r="Z365" s="30" t="s">
        <v>1005</v>
      </c>
      <c r="AA365" s="30" t="n">
        <v>82.37</v>
      </c>
      <c r="AB365" s="30" t="s">
        <v>1006</v>
      </c>
      <c r="AC365" s="30" t="n">
        <v>82.37</v>
      </c>
      <c r="AD365" s="30" t="s">
        <v>1006</v>
      </c>
      <c r="AE365" s="30" t="n">
        <v>23.91</v>
      </c>
      <c r="AF365" s="30" t="s">
        <v>1006</v>
      </c>
      <c r="AG365" s="30" t="n">
        <v>0</v>
      </c>
      <c r="AH365" s="30" t="s">
        <v>1006</v>
      </c>
      <c r="AI365" s="30" t="n">
        <v>0</v>
      </c>
      <c r="AJ365" s="30" t="s">
        <v>1006</v>
      </c>
      <c r="AK365" s="30" t="n">
        <v>0</v>
      </c>
      <c r="AL365" s="30" t="s">
        <v>1006</v>
      </c>
      <c r="AM365" s="30" t="n">
        <v>0</v>
      </c>
      <c r="AN365" s="30" t="s">
        <v>1006</v>
      </c>
      <c r="AO365" s="30" t="n">
        <v>50.81</v>
      </c>
      <c r="AP365" s="30" t="s">
        <v>1005</v>
      </c>
      <c r="AQ365" s="30" t="n">
        <v>51.47</v>
      </c>
      <c r="AR365" s="30" t="s">
        <v>1005</v>
      </c>
      <c r="AS365" s="30" t="n">
        <v>75.21</v>
      </c>
      <c r="AT365" s="30" t="s">
        <v>1005</v>
      </c>
      <c r="AU365" s="30" t="n">
        <v>511.28</v>
      </c>
      <c r="AV365" s="30" t="n">
        <v>0.284</v>
      </c>
      <c r="AW365" s="30" t="s">
        <v>1013</v>
      </c>
      <c r="AX365" s="30" t="s">
        <v>1008</v>
      </c>
      <c r="AY365" s="30" t="n">
        <v>1</v>
      </c>
      <c r="AZ365" s="30"/>
    </row>
    <row collapsed="false" customFormat="true" customHeight="true" hidden="false" ht="33" outlineLevel="0" r="366" s="73">
      <c r="A366" s="30" t="n">
        <v>395</v>
      </c>
      <c r="B366" s="30" t="s">
        <v>573</v>
      </c>
      <c r="C366" s="30" t="s">
        <v>1009</v>
      </c>
      <c r="D366" s="30" t="s">
        <v>999</v>
      </c>
      <c r="E366" s="30" t="s">
        <v>1010</v>
      </c>
      <c r="F366" s="30" t="s">
        <v>1011</v>
      </c>
      <c r="G366" s="30" t="s">
        <v>1002</v>
      </c>
      <c r="H366" s="30" t="s">
        <v>1003</v>
      </c>
      <c r="I366" s="30" t="n">
        <v>1</v>
      </c>
      <c r="J366" s="30"/>
      <c r="K366" s="30" t="n">
        <v>57</v>
      </c>
      <c r="L366" s="30"/>
      <c r="M366" s="30" t="s">
        <v>1012</v>
      </c>
      <c r="N366" s="30" t="s">
        <v>54</v>
      </c>
      <c r="O366" s="30"/>
      <c r="P366" s="30"/>
      <c r="Q366" s="30"/>
      <c r="R366" s="30"/>
      <c r="S366" s="30"/>
      <c r="T366" s="30"/>
      <c r="U366" s="30" t="n">
        <v>260.77</v>
      </c>
      <c r="V366" s="30" t="n">
        <v>236.36</v>
      </c>
      <c r="W366" s="30" t="n">
        <v>30.21</v>
      </c>
      <c r="X366" s="30" t="s">
        <v>1005</v>
      </c>
      <c r="Y366" s="30" t="n">
        <v>18.71</v>
      </c>
      <c r="Z366" s="30" t="s">
        <v>1006</v>
      </c>
      <c r="AA366" s="30" t="n">
        <v>18.71</v>
      </c>
      <c r="AB366" s="30" t="s">
        <v>1006</v>
      </c>
      <c r="AC366" s="30" t="n">
        <v>18.71</v>
      </c>
      <c r="AD366" s="30" t="s">
        <v>1006</v>
      </c>
      <c r="AE366" s="30" t="n">
        <v>5.43</v>
      </c>
      <c r="AF366" s="30" t="s">
        <v>1006</v>
      </c>
      <c r="AG366" s="30" t="n">
        <v>0</v>
      </c>
      <c r="AH366" s="30" t="s">
        <v>1006</v>
      </c>
      <c r="AI366" s="30" t="n">
        <v>0</v>
      </c>
      <c r="AJ366" s="30" t="s">
        <v>1006</v>
      </c>
      <c r="AK366" s="30" t="n">
        <v>0</v>
      </c>
      <c r="AL366" s="30" t="s">
        <v>1006</v>
      </c>
      <c r="AM366" s="30" t="n">
        <v>0</v>
      </c>
      <c r="AN366" s="30" t="s">
        <v>1006</v>
      </c>
      <c r="AO366" s="30" t="n">
        <v>14.54</v>
      </c>
      <c r="AP366" s="30" t="s">
        <v>1005</v>
      </c>
      <c r="AQ366" s="30" t="n">
        <v>17.41</v>
      </c>
      <c r="AR366" s="30" t="s">
        <v>1005</v>
      </c>
      <c r="AS366" s="30" t="n">
        <v>26.65</v>
      </c>
      <c r="AT366" s="30" t="s">
        <v>1005</v>
      </c>
      <c r="AU366" s="30" t="n">
        <v>150.37</v>
      </c>
      <c r="AV366" s="30" t="n">
        <v>0.155</v>
      </c>
      <c r="AW366" s="30" t="s">
        <v>1013</v>
      </c>
      <c r="AX366" s="30" t="s">
        <v>1008</v>
      </c>
      <c r="AY366" s="30" t="n">
        <v>1</v>
      </c>
      <c r="AZ366" s="30"/>
    </row>
    <row collapsed="false" customFormat="true" customHeight="true" hidden="false" ht="33" outlineLevel="0" r="367" s="73">
      <c r="A367" s="30" t="n">
        <v>396</v>
      </c>
      <c r="B367" s="30" t="s">
        <v>574</v>
      </c>
      <c r="C367" s="30" t="s">
        <v>1009</v>
      </c>
      <c r="D367" s="30" t="s">
        <v>999</v>
      </c>
      <c r="E367" s="30" t="s">
        <v>1010</v>
      </c>
      <c r="F367" s="30" t="s">
        <v>1011</v>
      </c>
      <c r="G367" s="30" t="s">
        <v>1002</v>
      </c>
      <c r="H367" s="30" t="s">
        <v>1003</v>
      </c>
      <c r="I367" s="30" t="n">
        <v>1</v>
      </c>
      <c r="J367" s="30"/>
      <c r="K367" s="30" t="n">
        <v>57</v>
      </c>
      <c r="L367" s="30"/>
      <c r="M367" s="30" t="s">
        <v>1012</v>
      </c>
      <c r="N367" s="30" t="s">
        <v>54</v>
      </c>
      <c r="O367" s="30"/>
      <c r="P367" s="30"/>
      <c r="Q367" s="30"/>
      <c r="R367" s="30"/>
      <c r="S367" s="30"/>
      <c r="T367" s="30"/>
      <c r="U367" s="30" t="n">
        <v>629.28</v>
      </c>
      <c r="V367" s="30" t="n">
        <v>780.66</v>
      </c>
      <c r="W367" s="30" t="n">
        <v>100.64</v>
      </c>
      <c r="X367" s="30" t="s">
        <v>1006</v>
      </c>
      <c r="Y367" s="30" t="n">
        <v>98.27</v>
      </c>
      <c r="Z367" s="30" t="s">
        <v>1005</v>
      </c>
      <c r="AA367" s="30" t="n">
        <v>100.64</v>
      </c>
      <c r="AB367" s="30" t="s">
        <v>1006</v>
      </c>
      <c r="AC367" s="30" t="n">
        <v>100.64</v>
      </c>
      <c r="AD367" s="30" t="s">
        <v>1006</v>
      </c>
      <c r="AE367" s="30" t="n">
        <v>29.21</v>
      </c>
      <c r="AF367" s="30" t="s">
        <v>1006</v>
      </c>
      <c r="AG367" s="30" t="n">
        <v>0</v>
      </c>
      <c r="AH367" s="30" t="s">
        <v>1006</v>
      </c>
      <c r="AI367" s="30" t="n">
        <v>0</v>
      </c>
      <c r="AJ367" s="30" t="s">
        <v>1006</v>
      </c>
      <c r="AK367" s="30" t="n">
        <v>0</v>
      </c>
      <c r="AL367" s="30" t="s">
        <v>1006</v>
      </c>
      <c r="AM367" s="30" t="n">
        <v>0</v>
      </c>
      <c r="AN367" s="30" t="s">
        <v>1006</v>
      </c>
      <c r="AO367" s="30" t="n">
        <v>70.84</v>
      </c>
      <c r="AP367" s="30" t="s">
        <v>1005</v>
      </c>
      <c r="AQ367" s="30" t="n">
        <v>55.7</v>
      </c>
      <c r="AR367" s="30" t="s">
        <v>1005</v>
      </c>
      <c r="AS367" s="30" t="n">
        <v>100.42</v>
      </c>
      <c r="AT367" s="30" t="s">
        <v>1005</v>
      </c>
      <c r="AU367" s="30" t="n">
        <v>656.36</v>
      </c>
      <c r="AV367" s="30" t="n">
        <v>0.374</v>
      </c>
      <c r="AW367" s="30" t="s">
        <v>1013</v>
      </c>
      <c r="AX367" s="30" t="s">
        <v>1008</v>
      </c>
      <c r="AY367" s="30" t="n">
        <v>1</v>
      </c>
      <c r="AZ367" s="30"/>
    </row>
    <row collapsed="false" customFormat="true" customHeight="true" hidden="false" ht="33" outlineLevel="0" r="368" s="73">
      <c r="A368" s="30" t="n">
        <v>397</v>
      </c>
      <c r="B368" s="30" t="s">
        <v>575</v>
      </c>
      <c r="C368" s="30" t="s">
        <v>1009</v>
      </c>
      <c r="D368" s="30" t="s">
        <v>999</v>
      </c>
      <c r="E368" s="30" t="s">
        <v>1010</v>
      </c>
      <c r="F368" s="30" t="s">
        <v>1011</v>
      </c>
      <c r="G368" s="30" t="s">
        <v>1002</v>
      </c>
      <c r="H368" s="30" t="s">
        <v>1003</v>
      </c>
      <c r="I368" s="30" t="n">
        <v>1</v>
      </c>
      <c r="J368" s="30"/>
      <c r="K368" s="30" t="n">
        <v>57</v>
      </c>
      <c r="L368" s="30"/>
      <c r="M368" s="30" t="s">
        <v>1012</v>
      </c>
      <c r="N368" s="30" t="s">
        <v>54</v>
      </c>
      <c r="O368" s="30"/>
      <c r="P368" s="30"/>
      <c r="Q368" s="30"/>
      <c r="R368" s="30"/>
      <c r="S368" s="30"/>
      <c r="T368" s="30"/>
      <c r="U368" s="30" t="n">
        <v>566.64</v>
      </c>
      <c r="V368" s="30" t="n">
        <v>529.28</v>
      </c>
      <c r="W368" s="30" t="n">
        <v>126.61</v>
      </c>
      <c r="X368" s="30" t="s">
        <v>1005</v>
      </c>
      <c r="Y368" s="30" t="n">
        <v>94.24</v>
      </c>
      <c r="Z368" s="30" t="s">
        <v>1005</v>
      </c>
      <c r="AA368" s="30" t="n">
        <v>98</v>
      </c>
      <c r="AB368" s="30" t="s">
        <v>1006</v>
      </c>
      <c r="AC368" s="30" t="n">
        <v>98</v>
      </c>
      <c r="AD368" s="30" t="s">
        <v>1006</v>
      </c>
      <c r="AE368" s="30" t="n">
        <v>28.45</v>
      </c>
      <c r="AF368" s="30" t="s">
        <v>1006</v>
      </c>
      <c r="AG368" s="30" t="n">
        <v>0</v>
      </c>
      <c r="AH368" s="30" t="s">
        <v>1006</v>
      </c>
      <c r="AI368" s="30" t="n">
        <v>0</v>
      </c>
      <c r="AJ368" s="30" t="s">
        <v>1006</v>
      </c>
      <c r="AK368" s="30" t="n">
        <v>0</v>
      </c>
      <c r="AL368" s="30" t="s">
        <v>1006</v>
      </c>
      <c r="AM368" s="30" t="n">
        <v>0</v>
      </c>
      <c r="AN368" s="30" t="s">
        <v>1006</v>
      </c>
      <c r="AO368" s="30" t="n">
        <v>59.84</v>
      </c>
      <c r="AP368" s="30" t="s">
        <v>1005</v>
      </c>
      <c r="AQ368" s="30" t="n">
        <v>60.03</v>
      </c>
      <c r="AR368" s="30" t="s">
        <v>1005</v>
      </c>
      <c r="AS368" s="30" t="n">
        <v>92.08</v>
      </c>
      <c r="AT368" s="30" t="s">
        <v>1005</v>
      </c>
      <c r="AU368" s="30" t="n">
        <v>657.25</v>
      </c>
      <c r="AV368" s="30" t="n">
        <v>0.337</v>
      </c>
      <c r="AW368" s="30" t="s">
        <v>1013</v>
      </c>
      <c r="AX368" s="30" t="s">
        <v>1008</v>
      </c>
      <c r="AY368" s="30" t="n">
        <v>1</v>
      </c>
      <c r="AZ368" s="30"/>
    </row>
    <row collapsed="false" customFormat="true" customHeight="true" hidden="false" ht="33" outlineLevel="0" r="369" s="73">
      <c r="A369" s="30" t="n">
        <v>398</v>
      </c>
      <c r="B369" s="30" t="s">
        <v>576</v>
      </c>
      <c r="C369" s="30" t="s">
        <v>1009</v>
      </c>
      <c r="D369" s="30" t="s">
        <v>999</v>
      </c>
      <c r="E369" s="30" t="s">
        <v>1010</v>
      </c>
      <c r="F369" s="30" t="s">
        <v>1011</v>
      </c>
      <c r="G369" s="30" t="s">
        <v>1002</v>
      </c>
      <c r="H369" s="30" t="s">
        <v>1003</v>
      </c>
      <c r="I369" s="30" t="n">
        <v>1</v>
      </c>
      <c r="J369" s="30"/>
      <c r="K369" s="30" t="n">
        <v>57</v>
      </c>
      <c r="L369" s="30"/>
      <c r="M369" s="30" t="s">
        <v>1012</v>
      </c>
      <c r="N369" s="30" t="s">
        <v>54</v>
      </c>
      <c r="O369" s="30"/>
      <c r="P369" s="30"/>
      <c r="Q369" s="30"/>
      <c r="R369" s="30"/>
      <c r="S369" s="30"/>
      <c r="T369" s="30"/>
      <c r="U369" s="30" t="n">
        <v>581.12</v>
      </c>
      <c r="V369" s="30" t="n">
        <v>620.67</v>
      </c>
      <c r="W369" s="30" t="n">
        <v>82.44</v>
      </c>
      <c r="X369" s="30" t="s">
        <v>1006</v>
      </c>
      <c r="Y369" s="30" t="n">
        <v>82.44</v>
      </c>
      <c r="Z369" s="30" t="s">
        <v>1006</v>
      </c>
      <c r="AA369" s="30" t="n">
        <v>82.44</v>
      </c>
      <c r="AB369" s="30" t="s">
        <v>1006</v>
      </c>
      <c r="AC369" s="30" t="n">
        <v>82.44</v>
      </c>
      <c r="AD369" s="30" t="s">
        <v>1006</v>
      </c>
      <c r="AE369" s="30" t="n">
        <v>23.93</v>
      </c>
      <c r="AF369" s="30" t="s">
        <v>1006</v>
      </c>
      <c r="AG369" s="30" t="n">
        <v>0</v>
      </c>
      <c r="AH369" s="30" t="s">
        <v>1006</v>
      </c>
      <c r="AI369" s="30" t="n">
        <v>0</v>
      </c>
      <c r="AJ369" s="30" t="s">
        <v>1006</v>
      </c>
      <c r="AK369" s="30" t="n">
        <v>0</v>
      </c>
      <c r="AL369" s="30" t="s">
        <v>1006</v>
      </c>
      <c r="AM369" s="30" t="n">
        <v>0</v>
      </c>
      <c r="AN369" s="30" t="s">
        <v>1006</v>
      </c>
      <c r="AO369" s="30" t="n">
        <v>79.15</v>
      </c>
      <c r="AP369" s="30" t="s">
        <v>1006</v>
      </c>
      <c r="AQ369" s="30" t="n">
        <v>79.15</v>
      </c>
      <c r="AR369" s="30" t="s">
        <v>1006</v>
      </c>
      <c r="AS369" s="30" t="n">
        <v>53.33</v>
      </c>
      <c r="AT369" s="30" t="s">
        <v>1005</v>
      </c>
      <c r="AU369" s="30" t="n">
        <v>565.32</v>
      </c>
      <c r="AV369" s="30" t="n">
        <v>0.369</v>
      </c>
      <c r="AW369" s="30" t="s">
        <v>1013</v>
      </c>
      <c r="AX369" s="30" t="s">
        <v>1008</v>
      </c>
      <c r="AY369" s="30" t="n">
        <v>1</v>
      </c>
      <c r="AZ369" s="30"/>
    </row>
    <row collapsed="false" customFormat="true" customHeight="true" hidden="false" ht="33" outlineLevel="0" r="370" s="73">
      <c r="A370" s="30" t="n">
        <v>399</v>
      </c>
      <c r="B370" s="30" t="s">
        <v>577</v>
      </c>
      <c r="C370" s="30" t="s">
        <v>1009</v>
      </c>
      <c r="D370" s="30" t="s">
        <v>999</v>
      </c>
      <c r="E370" s="30" t="s">
        <v>1010</v>
      </c>
      <c r="F370" s="30" t="s">
        <v>1011</v>
      </c>
      <c r="G370" s="30" t="s">
        <v>1002</v>
      </c>
      <c r="H370" s="30" t="s">
        <v>1003</v>
      </c>
      <c r="I370" s="30" t="n">
        <v>1</v>
      </c>
      <c r="J370" s="30"/>
      <c r="K370" s="30" t="n">
        <v>57</v>
      </c>
      <c r="L370" s="30"/>
      <c r="M370" s="30" t="s">
        <v>1012</v>
      </c>
      <c r="N370" s="30" t="s">
        <v>54</v>
      </c>
      <c r="O370" s="30"/>
      <c r="P370" s="30"/>
      <c r="Q370" s="30"/>
      <c r="R370" s="30"/>
      <c r="S370" s="30"/>
      <c r="T370" s="30"/>
      <c r="U370" s="30" t="n">
        <v>589.04</v>
      </c>
      <c r="V370" s="30" t="n">
        <v>629.08</v>
      </c>
      <c r="W370" s="30" t="n">
        <v>100.18</v>
      </c>
      <c r="X370" s="30" t="s">
        <v>1006</v>
      </c>
      <c r="Y370" s="30" t="n">
        <v>100.18</v>
      </c>
      <c r="Z370" s="30" t="s">
        <v>1006</v>
      </c>
      <c r="AA370" s="30" t="n">
        <v>100.18</v>
      </c>
      <c r="AB370" s="30" t="s">
        <v>1006</v>
      </c>
      <c r="AC370" s="30" t="n">
        <v>100.18</v>
      </c>
      <c r="AD370" s="30" t="s">
        <v>1006</v>
      </c>
      <c r="AE370" s="30" t="n">
        <v>29.09</v>
      </c>
      <c r="AF370" s="30" t="s">
        <v>1006</v>
      </c>
      <c r="AG370" s="30" t="n">
        <v>0</v>
      </c>
      <c r="AH370" s="30" t="s">
        <v>1006</v>
      </c>
      <c r="AI370" s="30" t="n">
        <v>0</v>
      </c>
      <c r="AJ370" s="30" t="s">
        <v>1006</v>
      </c>
      <c r="AK370" s="30" t="n">
        <v>0</v>
      </c>
      <c r="AL370" s="30" t="s">
        <v>1006</v>
      </c>
      <c r="AM370" s="30" t="n">
        <v>0</v>
      </c>
      <c r="AN370" s="30" t="s">
        <v>1006</v>
      </c>
      <c r="AO370" s="30" t="n">
        <v>45.49</v>
      </c>
      <c r="AP370" s="30" t="s">
        <v>1005</v>
      </c>
      <c r="AQ370" s="30" t="n">
        <v>79.41</v>
      </c>
      <c r="AR370" s="30" t="s">
        <v>1005</v>
      </c>
      <c r="AS370" s="30" t="n">
        <v>111.85</v>
      </c>
      <c r="AT370" s="30" t="s">
        <v>1005</v>
      </c>
      <c r="AU370" s="30" t="n">
        <v>666.56</v>
      </c>
      <c r="AV370" s="30" t="n">
        <v>0.374</v>
      </c>
      <c r="AW370" s="30" t="s">
        <v>1013</v>
      </c>
      <c r="AX370" s="30" t="s">
        <v>1008</v>
      </c>
      <c r="AY370" s="30" t="n">
        <v>1</v>
      </c>
      <c r="AZ370" s="30"/>
    </row>
    <row collapsed="false" customFormat="true" customHeight="true" hidden="false" ht="33" outlineLevel="0" r="371" s="73">
      <c r="A371" s="30" t="n">
        <v>400</v>
      </c>
      <c r="B371" s="30" t="s">
        <v>578</v>
      </c>
      <c r="C371" s="30" t="s">
        <v>1009</v>
      </c>
      <c r="D371" s="30" t="s">
        <v>999</v>
      </c>
      <c r="E371" s="30" t="s">
        <v>1010</v>
      </c>
      <c r="F371" s="30" t="s">
        <v>1011</v>
      </c>
      <c r="G371" s="30" t="s">
        <v>1002</v>
      </c>
      <c r="H371" s="30" t="s">
        <v>1003</v>
      </c>
      <c r="I371" s="30" t="n">
        <v>1</v>
      </c>
      <c r="J371" s="30"/>
      <c r="K371" s="30" t="n">
        <v>57</v>
      </c>
      <c r="L371" s="30"/>
      <c r="M371" s="30" t="s">
        <v>1012</v>
      </c>
      <c r="N371" s="30" t="s">
        <v>54</v>
      </c>
      <c r="O371" s="30"/>
      <c r="P371" s="30"/>
      <c r="Q371" s="30"/>
      <c r="R371" s="30"/>
      <c r="S371" s="30"/>
      <c r="T371" s="30"/>
      <c r="U371" s="30" t="n">
        <v>257.94</v>
      </c>
      <c r="V371" s="30" t="n">
        <v>199.29</v>
      </c>
      <c r="W371" s="30" t="n">
        <v>33.52</v>
      </c>
      <c r="X371" s="30" t="s">
        <v>1005</v>
      </c>
      <c r="Y371" s="30" t="n">
        <v>17.81</v>
      </c>
      <c r="Z371" s="30" t="s">
        <v>1005</v>
      </c>
      <c r="AA371" s="30" t="n">
        <v>36.04</v>
      </c>
      <c r="AB371" s="30" t="s">
        <v>1005</v>
      </c>
      <c r="AC371" s="30" t="n">
        <v>18.34</v>
      </c>
      <c r="AD371" s="30" t="s">
        <v>1006</v>
      </c>
      <c r="AE371" s="30" t="n">
        <v>5.33</v>
      </c>
      <c r="AF371" s="30" t="s">
        <v>1006</v>
      </c>
      <c r="AG371" s="30" t="n">
        <v>0</v>
      </c>
      <c r="AH371" s="30" t="s">
        <v>1006</v>
      </c>
      <c r="AI371" s="30" t="n">
        <v>0</v>
      </c>
      <c r="AJ371" s="30" t="s">
        <v>1006</v>
      </c>
      <c r="AK371" s="30" t="n">
        <v>0</v>
      </c>
      <c r="AL371" s="30" t="s">
        <v>1006</v>
      </c>
      <c r="AM371" s="30" t="n">
        <v>0</v>
      </c>
      <c r="AN371" s="30" t="s">
        <v>1006</v>
      </c>
      <c r="AO371" s="30" t="n">
        <v>17.51</v>
      </c>
      <c r="AP371" s="30" t="s">
        <v>1006</v>
      </c>
      <c r="AQ371" s="30" t="n">
        <v>12.94</v>
      </c>
      <c r="AR371" s="30" t="s">
        <v>1005</v>
      </c>
      <c r="AS371" s="30" t="n">
        <v>24.75</v>
      </c>
      <c r="AT371" s="30" t="s">
        <v>1005</v>
      </c>
      <c r="AU371" s="30" t="n">
        <v>166.24</v>
      </c>
      <c r="AV371" s="30" t="n">
        <v>0.155</v>
      </c>
      <c r="AW371" s="30" t="s">
        <v>1013</v>
      </c>
      <c r="AX371" s="30" t="s">
        <v>1008</v>
      </c>
      <c r="AY371" s="30" t="n">
        <v>1</v>
      </c>
      <c r="AZ371" s="30"/>
    </row>
    <row collapsed="false" customFormat="true" customHeight="true" hidden="false" ht="33" outlineLevel="0" r="372" s="73">
      <c r="A372" s="30" t="n">
        <v>401</v>
      </c>
      <c r="B372" s="30" t="s">
        <v>579</v>
      </c>
      <c r="C372" s="30" t="s">
        <v>1009</v>
      </c>
      <c r="D372" s="30" t="s">
        <v>999</v>
      </c>
      <c r="E372" s="30" t="s">
        <v>1010</v>
      </c>
      <c r="F372" s="30" t="s">
        <v>1011</v>
      </c>
      <c r="G372" s="30" t="s">
        <v>1002</v>
      </c>
      <c r="H372" s="30" t="s">
        <v>1003</v>
      </c>
      <c r="I372" s="30" t="n">
        <v>1</v>
      </c>
      <c r="J372" s="30"/>
      <c r="K372" s="30" t="n">
        <v>57</v>
      </c>
      <c r="L372" s="30"/>
      <c r="M372" s="30" t="s">
        <v>1012</v>
      </c>
      <c r="N372" s="30" t="s">
        <v>54</v>
      </c>
      <c r="O372" s="30"/>
      <c r="P372" s="30"/>
      <c r="Q372" s="30"/>
      <c r="R372" s="30"/>
      <c r="S372" s="30"/>
      <c r="T372" s="30"/>
      <c r="U372" s="30" t="n">
        <v>710.65</v>
      </c>
      <c r="V372" s="30" t="n">
        <v>670.24</v>
      </c>
      <c r="W372" s="30" t="n">
        <v>99.25</v>
      </c>
      <c r="X372" s="30" t="s">
        <v>1006</v>
      </c>
      <c r="Y372" s="30" t="n">
        <v>99.25</v>
      </c>
      <c r="Z372" s="30" t="s">
        <v>1006</v>
      </c>
      <c r="AA372" s="30" t="n">
        <v>99.25</v>
      </c>
      <c r="AB372" s="30" t="s">
        <v>1006</v>
      </c>
      <c r="AC372" s="30" t="n">
        <v>99.25</v>
      </c>
      <c r="AD372" s="30" t="s">
        <v>1006</v>
      </c>
      <c r="AE372" s="30" t="n">
        <v>28.82</v>
      </c>
      <c r="AF372" s="30" t="s">
        <v>1006</v>
      </c>
      <c r="AG372" s="30" t="n">
        <v>0</v>
      </c>
      <c r="AH372" s="30" t="s">
        <v>1006</v>
      </c>
      <c r="AI372" s="30" t="n">
        <v>0</v>
      </c>
      <c r="AJ372" s="30" t="s">
        <v>1006</v>
      </c>
      <c r="AK372" s="30" t="n">
        <v>0</v>
      </c>
      <c r="AL372" s="30" t="s">
        <v>1006</v>
      </c>
      <c r="AM372" s="30" t="n">
        <v>0</v>
      </c>
      <c r="AN372" s="30" t="s">
        <v>1006</v>
      </c>
      <c r="AO372" s="30" t="n">
        <v>50.13</v>
      </c>
      <c r="AP372" s="30" t="s">
        <v>1005</v>
      </c>
      <c r="AQ372" s="30" t="n">
        <v>72.94</v>
      </c>
      <c r="AR372" s="30" t="s">
        <v>1005</v>
      </c>
      <c r="AS372" s="30" t="n">
        <v>102.25</v>
      </c>
      <c r="AT372" s="30" t="s">
        <v>1005</v>
      </c>
      <c r="AU372" s="30" t="n">
        <v>651.14</v>
      </c>
      <c r="AV372" s="30" t="n">
        <v>0.431</v>
      </c>
      <c r="AW372" s="30" t="s">
        <v>1013</v>
      </c>
      <c r="AX372" s="30" t="s">
        <v>1008</v>
      </c>
      <c r="AY372" s="30" t="n">
        <v>1</v>
      </c>
      <c r="AZ372" s="30"/>
    </row>
    <row collapsed="false" customFormat="true" customHeight="true" hidden="false" ht="33" outlineLevel="0" r="373" s="73">
      <c r="A373" s="30" t="n">
        <v>402</v>
      </c>
      <c r="B373" s="30" t="s">
        <v>580</v>
      </c>
      <c r="C373" s="30" t="s">
        <v>1009</v>
      </c>
      <c r="D373" s="30" t="s">
        <v>999</v>
      </c>
      <c r="E373" s="30" t="s">
        <v>1010</v>
      </c>
      <c r="F373" s="30" t="s">
        <v>1011</v>
      </c>
      <c r="G373" s="30" t="s">
        <v>1002</v>
      </c>
      <c r="H373" s="30" t="s">
        <v>1003</v>
      </c>
      <c r="I373" s="30" t="n">
        <v>1</v>
      </c>
      <c r="J373" s="30"/>
      <c r="K373" s="30" t="n">
        <v>57</v>
      </c>
      <c r="L373" s="30"/>
      <c r="M373" s="30" t="s">
        <v>1012</v>
      </c>
      <c r="N373" s="30" t="s">
        <v>54</v>
      </c>
      <c r="O373" s="30"/>
      <c r="P373" s="30"/>
      <c r="Q373" s="30"/>
      <c r="R373" s="30"/>
      <c r="S373" s="30"/>
      <c r="T373" s="30"/>
      <c r="U373" s="30" t="n">
        <v>616.65</v>
      </c>
      <c r="V373" s="30" t="n">
        <v>581.36</v>
      </c>
      <c r="W373" s="30" t="n">
        <v>101.63</v>
      </c>
      <c r="X373" s="30" t="s">
        <v>1006</v>
      </c>
      <c r="Y373" s="30" t="n">
        <v>101.63</v>
      </c>
      <c r="Z373" s="30" t="s">
        <v>1006</v>
      </c>
      <c r="AA373" s="30" t="n">
        <v>101.63</v>
      </c>
      <c r="AB373" s="30" t="s">
        <v>1006</v>
      </c>
      <c r="AC373" s="30" t="n">
        <v>101.63</v>
      </c>
      <c r="AD373" s="30" t="s">
        <v>1006</v>
      </c>
      <c r="AE373" s="30" t="n">
        <v>29.5</v>
      </c>
      <c r="AF373" s="30" t="s">
        <v>1006</v>
      </c>
      <c r="AG373" s="30" t="n">
        <v>0</v>
      </c>
      <c r="AH373" s="30" t="s">
        <v>1006</v>
      </c>
      <c r="AI373" s="30" t="n">
        <v>0</v>
      </c>
      <c r="AJ373" s="30" t="s">
        <v>1006</v>
      </c>
      <c r="AK373" s="30" t="n">
        <v>0</v>
      </c>
      <c r="AL373" s="30" t="s">
        <v>1006</v>
      </c>
      <c r="AM373" s="30" t="n">
        <v>0</v>
      </c>
      <c r="AN373" s="30" t="s">
        <v>1006</v>
      </c>
      <c r="AO373" s="30" t="n">
        <v>47.16</v>
      </c>
      <c r="AP373" s="30" t="s">
        <v>1005</v>
      </c>
      <c r="AQ373" s="30" t="n">
        <v>69.33</v>
      </c>
      <c r="AR373" s="30" t="s">
        <v>1005</v>
      </c>
      <c r="AS373" s="30" t="n">
        <v>98.56</v>
      </c>
      <c r="AT373" s="30" t="s">
        <v>1005</v>
      </c>
      <c r="AU373" s="30" t="n">
        <v>651.07</v>
      </c>
      <c r="AV373" s="30" t="n">
        <v>0.374</v>
      </c>
      <c r="AW373" s="30" t="s">
        <v>1013</v>
      </c>
      <c r="AX373" s="30" t="s">
        <v>1008</v>
      </c>
      <c r="AY373" s="30" t="n">
        <v>1</v>
      </c>
      <c r="AZ373" s="30"/>
    </row>
    <row collapsed="false" customFormat="true" customHeight="true" hidden="false" ht="33" outlineLevel="0" r="374" s="73">
      <c r="A374" s="30" t="n">
        <v>403</v>
      </c>
      <c r="B374" s="30" t="s">
        <v>581</v>
      </c>
      <c r="C374" s="30" t="s">
        <v>1009</v>
      </c>
      <c r="D374" s="30" t="s">
        <v>999</v>
      </c>
      <c r="E374" s="30" t="s">
        <v>1010</v>
      </c>
      <c r="F374" s="30" t="s">
        <v>1011</v>
      </c>
      <c r="G374" s="30" t="s">
        <v>1002</v>
      </c>
      <c r="H374" s="30" t="s">
        <v>1003</v>
      </c>
      <c r="I374" s="30" t="n">
        <v>1</v>
      </c>
      <c r="J374" s="30"/>
      <c r="K374" s="30" t="n">
        <v>57</v>
      </c>
      <c r="L374" s="30"/>
      <c r="M374" s="30" t="s">
        <v>1012</v>
      </c>
      <c r="N374" s="30" t="s">
        <v>54</v>
      </c>
      <c r="O374" s="30"/>
      <c r="P374" s="30"/>
      <c r="Q374" s="30"/>
      <c r="R374" s="30"/>
      <c r="S374" s="30"/>
      <c r="T374" s="30"/>
      <c r="U374" s="30" t="n">
        <v>555.62</v>
      </c>
      <c r="V374" s="30" t="n">
        <v>844.38</v>
      </c>
      <c r="W374" s="30" t="n">
        <v>87.52</v>
      </c>
      <c r="X374" s="30" t="s">
        <v>1005</v>
      </c>
      <c r="Y374" s="30" t="n">
        <v>89.8</v>
      </c>
      <c r="Z374" s="30" t="s">
        <v>1005</v>
      </c>
      <c r="AA374" s="30" t="n">
        <v>103.3</v>
      </c>
      <c r="AB374" s="30" t="s">
        <v>1005</v>
      </c>
      <c r="AC374" s="30" t="n">
        <v>44.57</v>
      </c>
      <c r="AD374" s="30" t="s">
        <v>1005</v>
      </c>
      <c r="AE374" s="30" t="n">
        <v>27.72</v>
      </c>
      <c r="AF374" s="30" t="s">
        <v>1005</v>
      </c>
      <c r="AG374" s="30" t="n">
        <v>0</v>
      </c>
      <c r="AH374" s="30" t="s">
        <v>1005</v>
      </c>
      <c r="AI374" s="30" t="n">
        <v>0</v>
      </c>
      <c r="AJ374" s="30" t="s">
        <v>1005</v>
      </c>
      <c r="AK374" s="30" t="n">
        <v>0</v>
      </c>
      <c r="AL374" s="30" t="s">
        <v>1005</v>
      </c>
      <c r="AM374" s="30" t="n">
        <v>0</v>
      </c>
      <c r="AN374" s="30" t="s">
        <v>1005</v>
      </c>
      <c r="AO374" s="30" t="n">
        <v>44.3</v>
      </c>
      <c r="AP374" s="30" t="s">
        <v>1005</v>
      </c>
      <c r="AQ374" s="30" t="n">
        <v>47.78</v>
      </c>
      <c r="AR374" s="30" t="s">
        <v>1005</v>
      </c>
      <c r="AS374" s="30" t="n">
        <v>71.41</v>
      </c>
      <c r="AT374" s="30" t="s">
        <v>1005</v>
      </c>
      <c r="AU374" s="30" t="n">
        <v>516.4</v>
      </c>
      <c r="AV374" s="30" t="n">
        <v>0.337</v>
      </c>
      <c r="AW374" s="30" t="s">
        <v>1013</v>
      </c>
      <c r="AX374" s="30" t="s">
        <v>1008</v>
      </c>
      <c r="AY374" s="30" t="n">
        <v>1</v>
      </c>
      <c r="AZ374" s="30"/>
    </row>
    <row collapsed="false" customFormat="true" customHeight="true" hidden="false" ht="33" outlineLevel="0" r="375" s="73">
      <c r="A375" s="30" t="n">
        <v>404</v>
      </c>
      <c r="B375" s="30" t="s">
        <v>582</v>
      </c>
      <c r="C375" s="30" t="s">
        <v>1009</v>
      </c>
      <c r="D375" s="30" t="s">
        <v>999</v>
      </c>
      <c r="E375" s="30" t="s">
        <v>1010</v>
      </c>
      <c r="F375" s="30" t="s">
        <v>1011</v>
      </c>
      <c r="G375" s="30" t="s">
        <v>1002</v>
      </c>
      <c r="H375" s="30" t="s">
        <v>1003</v>
      </c>
      <c r="I375" s="30" t="n">
        <v>1</v>
      </c>
      <c r="J375" s="30"/>
      <c r="K375" s="30" t="n">
        <v>57</v>
      </c>
      <c r="L375" s="30"/>
      <c r="M375" s="30" t="s">
        <v>1012</v>
      </c>
      <c r="N375" s="30" t="s">
        <v>54</v>
      </c>
      <c r="O375" s="30"/>
      <c r="P375" s="30"/>
      <c r="Q375" s="30"/>
      <c r="R375" s="30"/>
      <c r="S375" s="30"/>
      <c r="T375" s="30"/>
      <c r="U375" s="30" t="n">
        <v>608.21</v>
      </c>
      <c r="V375" s="30" t="n">
        <v>572</v>
      </c>
      <c r="W375" s="30" t="n">
        <v>100.66</v>
      </c>
      <c r="X375" s="30" t="s">
        <v>1006</v>
      </c>
      <c r="Y375" s="30" t="n">
        <v>100.66</v>
      </c>
      <c r="Z375" s="30" t="s">
        <v>1006</v>
      </c>
      <c r="AA375" s="30" t="n">
        <v>100.66</v>
      </c>
      <c r="AB375" s="30" t="s">
        <v>1006</v>
      </c>
      <c r="AC375" s="30" t="n">
        <v>100.66</v>
      </c>
      <c r="AD375" s="30" t="s">
        <v>1006</v>
      </c>
      <c r="AE375" s="30" t="n">
        <v>29.23</v>
      </c>
      <c r="AF375" s="30" t="s">
        <v>1006</v>
      </c>
      <c r="AG375" s="30" t="n">
        <v>0</v>
      </c>
      <c r="AH375" s="30" t="s">
        <v>1006</v>
      </c>
      <c r="AI375" s="30" t="n">
        <v>0</v>
      </c>
      <c r="AJ375" s="30" t="s">
        <v>1006</v>
      </c>
      <c r="AK375" s="30" t="n">
        <v>0</v>
      </c>
      <c r="AL375" s="30" t="s">
        <v>1006</v>
      </c>
      <c r="AM375" s="30" t="n">
        <v>0</v>
      </c>
      <c r="AN375" s="30" t="s">
        <v>1006</v>
      </c>
      <c r="AO375" s="30" t="n">
        <v>49.2</v>
      </c>
      <c r="AP375" s="30" t="s">
        <v>1005</v>
      </c>
      <c r="AQ375" s="30" t="n">
        <v>72.81</v>
      </c>
      <c r="AR375" s="30" t="s">
        <v>1005</v>
      </c>
      <c r="AS375" s="30" t="n">
        <v>98.76</v>
      </c>
      <c r="AT375" s="30" t="s">
        <v>1005</v>
      </c>
      <c r="AU375" s="30" t="n">
        <v>652.64</v>
      </c>
      <c r="AV375" s="30" t="n">
        <v>0.369</v>
      </c>
      <c r="AW375" s="30" t="s">
        <v>1013</v>
      </c>
      <c r="AX375" s="30" t="s">
        <v>1008</v>
      </c>
      <c r="AY375" s="30" t="n">
        <v>1</v>
      </c>
      <c r="AZ375" s="30"/>
    </row>
    <row collapsed="false" customFormat="true" customHeight="true" hidden="false" ht="33" outlineLevel="0" r="376" s="73">
      <c r="A376" s="30" t="n">
        <v>405</v>
      </c>
      <c r="B376" s="30" t="s">
        <v>583</v>
      </c>
      <c r="C376" s="30" t="s">
        <v>1009</v>
      </c>
      <c r="D376" s="30" t="s">
        <v>999</v>
      </c>
      <c r="E376" s="30" t="s">
        <v>1010</v>
      </c>
      <c r="F376" s="30" t="s">
        <v>1011</v>
      </c>
      <c r="G376" s="30" t="s">
        <v>1002</v>
      </c>
      <c r="H376" s="30" t="s">
        <v>1003</v>
      </c>
      <c r="I376" s="30" t="n">
        <v>1</v>
      </c>
      <c r="J376" s="30"/>
      <c r="K376" s="30" t="n">
        <v>57</v>
      </c>
      <c r="L376" s="30"/>
      <c r="M376" s="30" t="s">
        <v>1012</v>
      </c>
      <c r="N376" s="30" t="s">
        <v>54</v>
      </c>
      <c r="O376" s="30"/>
      <c r="P376" s="30"/>
      <c r="Q376" s="30"/>
      <c r="R376" s="30"/>
      <c r="S376" s="30"/>
      <c r="T376" s="30"/>
      <c r="U376" s="30" t="n">
        <v>710.38</v>
      </c>
      <c r="V376" s="30" t="n">
        <v>668.08</v>
      </c>
      <c r="W376" s="30" t="n">
        <v>100.58</v>
      </c>
      <c r="X376" s="30" t="s">
        <v>1006</v>
      </c>
      <c r="Y376" s="30" t="n">
        <v>100.58</v>
      </c>
      <c r="Z376" s="30" t="s">
        <v>1006</v>
      </c>
      <c r="AA376" s="30" t="n">
        <v>100.58</v>
      </c>
      <c r="AB376" s="30" t="s">
        <v>1006</v>
      </c>
      <c r="AC376" s="30" t="n">
        <v>100.58</v>
      </c>
      <c r="AD376" s="30" t="s">
        <v>1006</v>
      </c>
      <c r="AE376" s="30" t="n">
        <v>29.2</v>
      </c>
      <c r="AF376" s="30" t="s">
        <v>1006</v>
      </c>
      <c r="AG376" s="30" t="n">
        <v>0</v>
      </c>
      <c r="AH376" s="30" t="s">
        <v>1006</v>
      </c>
      <c r="AI376" s="30" t="n">
        <v>0</v>
      </c>
      <c r="AJ376" s="30" t="s">
        <v>1006</v>
      </c>
      <c r="AK376" s="30" t="n">
        <v>0</v>
      </c>
      <c r="AL376" s="30" t="s">
        <v>1006</v>
      </c>
      <c r="AM376" s="30" t="n">
        <v>0</v>
      </c>
      <c r="AN376" s="30" t="s">
        <v>1006</v>
      </c>
      <c r="AO376" s="30" t="n">
        <v>53.36</v>
      </c>
      <c r="AP376" s="30" t="s">
        <v>1005</v>
      </c>
      <c r="AQ376" s="30" t="n">
        <v>74.9</v>
      </c>
      <c r="AR376" s="30" t="s">
        <v>1005</v>
      </c>
      <c r="AS376" s="30" t="n">
        <v>106.99</v>
      </c>
      <c r="AT376" s="30" t="s">
        <v>1005</v>
      </c>
      <c r="AU376" s="30" t="n">
        <v>666.77</v>
      </c>
      <c r="AV376" s="30" t="n">
        <v>0.431</v>
      </c>
      <c r="AW376" s="30" t="s">
        <v>1013</v>
      </c>
      <c r="AX376" s="30" t="s">
        <v>1008</v>
      </c>
      <c r="AY376" s="30" t="n">
        <v>1</v>
      </c>
      <c r="AZ376" s="30"/>
    </row>
    <row collapsed="false" customFormat="true" customHeight="true" hidden="false" ht="33" outlineLevel="0" r="377" s="73">
      <c r="A377" s="30" t="n">
        <v>406</v>
      </c>
      <c r="B377" s="30" t="s">
        <v>584</v>
      </c>
      <c r="C377" s="30" t="s">
        <v>1009</v>
      </c>
      <c r="D377" s="30" t="s">
        <v>999</v>
      </c>
      <c r="E377" s="30" t="s">
        <v>1010</v>
      </c>
      <c r="F377" s="30" t="s">
        <v>1011</v>
      </c>
      <c r="G377" s="30" t="s">
        <v>1002</v>
      </c>
      <c r="H377" s="30" t="s">
        <v>1003</v>
      </c>
      <c r="I377" s="30" t="n">
        <v>1</v>
      </c>
      <c r="J377" s="30"/>
      <c r="K377" s="30" t="n">
        <v>57</v>
      </c>
      <c r="L377" s="30"/>
      <c r="M377" s="30" t="s">
        <v>1012</v>
      </c>
      <c r="N377" s="30" t="s">
        <v>54</v>
      </c>
      <c r="O377" s="30"/>
      <c r="P377" s="30"/>
      <c r="Q377" s="30"/>
      <c r="R377" s="30"/>
      <c r="S377" s="30"/>
      <c r="T377" s="30"/>
      <c r="U377" s="30" t="n">
        <v>468.09</v>
      </c>
      <c r="V377" s="30" t="n">
        <v>861.65</v>
      </c>
      <c r="W377" s="30" t="n">
        <v>83.77</v>
      </c>
      <c r="X377" s="30" t="s">
        <v>1006</v>
      </c>
      <c r="Y377" s="30" t="n">
        <v>102.72</v>
      </c>
      <c r="Z377" s="30" t="s">
        <v>1005</v>
      </c>
      <c r="AA377" s="30" t="n">
        <v>128.68</v>
      </c>
      <c r="AB377" s="30" t="s">
        <v>1005</v>
      </c>
      <c r="AC377" s="30" t="n">
        <v>40.39</v>
      </c>
      <c r="AD377" s="30" t="s">
        <v>1005</v>
      </c>
      <c r="AE377" s="30" t="n">
        <v>24.49</v>
      </c>
      <c r="AF377" s="30" t="s">
        <v>1005</v>
      </c>
      <c r="AG377" s="30" t="n">
        <v>0</v>
      </c>
      <c r="AH377" s="30" t="s">
        <v>1005</v>
      </c>
      <c r="AI377" s="30" t="n">
        <v>0</v>
      </c>
      <c r="AJ377" s="30" t="s">
        <v>1005</v>
      </c>
      <c r="AK377" s="30" t="n">
        <v>0</v>
      </c>
      <c r="AL377" s="30" t="s">
        <v>1005</v>
      </c>
      <c r="AM377" s="30" t="n">
        <v>0</v>
      </c>
      <c r="AN377" s="30" t="s">
        <v>1005</v>
      </c>
      <c r="AO377" s="30" t="n">
        <v>80.43</v>
      </c>
      <c r="AP377" s="30" t="s">
        <v>1006</v>
      </c>
      <c r="AQ377" s="30" t="n">
        <v>40.99</v>
      </c>
      <c r="AR377" s="30" t="s">
        <v>1005</v>
      </c>
      <c r="AS377" s="30" t="n">
        <v>76.24</v>
      </c>
      <c r="AT377" s="30" t="s">
        <v>1005</v>
      </c>
      <c r="AU377" s="30" t="n">
        <v>577.71</v>
      </c>
      <c r="AV377" s="30" t="n">
        <v>0.284</v>
      </c>
      <c r="AW377" s="30" t="s">
        <v>1013</v>
      </c>
      <c r="AX377" s="30" t="s">
        <v>1008</v>
      </c>
      <c r="AY377" s="30" t="n">
        <v>1</v>
      </c>
      <c r="AZ377" s="30"/>
    </row>
    <row collapsed="false" customFormat="true" customHeight="true" hidden="false" ht="33" outlineLevel="0" r="378" s="73">
      <c r="A378" s="30" t="n">
        <v>407</v>
      </c>
      <c r="B378" s="30" t="s">
        <v>585</v>
      </c>
      <c r="C378" s="30" t="s">
        <v>1009</v>
      </c>
      <c r="D378" s="30" t="s">
        <v>999</v>
      </c>
      <c r="E378" s="30" t="s">
        <v>1010</v>
      </c>
      <c r="F378" s="30" t="s">
        <v>1011</v>
      </c>
      <c r="G378" s="30" t="s">
        <v>1002</v>
      </c>
      <c r="H378" s="30" t="s">
        <v>1003</v>
      </c>
      <c r="I378" s="30" t="n">
        <v>1</v>
      </c>
      <c r="J378" s="30"/>
      <c r="K378" s="30" t="n">
        <v>57</v>
      </c>
      <c r="L378" s="30"/>
      <c r="M378" s="30" t="s">
        <v>1012</v>
      </c>
      <c r="N378" s="30" t="s">
        <v>54</v>
      </c>
      <c r="O378" s="30"/>
      <c r="P378" s="30"/>
      <c r="Q378" s="30"/>
      <c r="R378" s="30"/>
      <c r="S378" s="30"/>
      <c r="T378" s="30"/>
      <c r="U378" s="30" t="n">
        <v>697.2</v>
      </c>
      <c r="V378" s="30" t="n">
        <v>989.23</v>
      </c>
      <c r="W378" s="30" t="n">
        <v>111.16</v>
      </c>
      <c r="X378" s="30" t="s">
        <v>1005</v>
      </c>
      <c r="Y378" s="30" t="n">
        <v>95.84</v>
      </c>
      <c r="Z378" s="30" t="s">
        <v>1005</v>
      </c>
      <c r="AA378" s="30" t="n">
        <v>100.05</v>
      </c>
      <c r="AB378" s="30" t="s">
        <v>1006</v>
      </c>
      <c r="AC378" s="30" t="n">
        <v>100.05</v>
      </c>
      <c r="AD378" s="30" t="s">
        <v>1006</v>
      </c>
      <c r="AE378" s="30" t="n">
        <v>12.99</v>
      </c>
      <c r="AF378" s="30" t="s">
        <v>1005</v>
      </c>
      <c r="AG378" s="30" t="n">
        <v>0</v>
      </c>
      <c r="AH378" s="30" t="s">
        <v>1005</v>
      </c>
      <c r="AI378" s="30" t="n">
        <v>0</v>
      </c>
      <c r="AJ378" s="30" t="s">
        <v>1005</v>
      </c>
      <c r="AK378" s="30" t="n">
        <v>0</v>
      </c>
      <c r="AL378" s="30" t="s">
        <v>1005</v>
      </c>
      <c r="AM378" s="30" t="n">
        <v>0</v>
      </c>
      <c r="AN378" s="30" t="s">
        <v>1005</v>
      </c>
      <c r="AO378" s="30" t="n">
        <v>52.4</v>
      </c>
      <c r="AP378" s="30" t="s">
        <v>1005</v>
      </c>
      <c r="AQ378" s="30" t="n">
        <v>50.65</v>
      </c>
      <c r="AR378" s="30" t="s">
        <v>1005</v>
      </c>
      <c r="AS378" s="30" t="n">
        <v>84.29</v>
      </c>
      <c r="AT378" s="30" t="s">
        <v>1005</v>
      </c>
      <c r="AU378" s="30" t="n">
        <v>607.43</v>
      </c>
      <c r="AV378" s="30" t="n">
        <v>0.423</v>
      </c>
      <c r="AW378" s="30" t="s">
        <v>1013</v>
      </c>
      <c r="AX378" s="30" t="s">
        <v>1008</v>
      </c>
      <c r="AY378" s="30" t="n">
        <v>1</v>
      </c>
      <c r="AZ378" s="30"/>
    </row>
    <row collapsed="false" customFormat="true" customHeight="true" hidden="false" ht="33" outlineLevel="0" r="379" s="73">
      <c r="A379" s="30" t="n">
        <v>408</v>
      </c>
      <c r="B379" s="30" t="s">
        <v>586</v>
      </c>
      <c r="C379" s="30" t="s">
        <v>1009</v>
      </c>
      <c r="D379" s="30" t="s">
        <v>999</v>
      </c>
      <c r="E379" s="30" t="s">
        <v>1010</v>
      </c>
      <c r="F379" s="30" t="s">
        <v>1011</v>
      </c>
      <c r="G379" s="30" t="s">
        <v>1002</v>
      </c>
      <c r="H379" s="30" t="s">
        <v>1003</v>
      </c>
      <c r="I379" s="30" t="n">
        <v>1</v>
      </c>
      <c r="J379" s="30"/>
      <c r="K379" s="30" t="n">
        <v>57</v>
      </c>
      <c r="L379" s="30"/>
      <c r="M379" s="30" t="s">
        <v>1012</v>
      </c>
      <c r="N379" s="30" t="s">
        <v>54</v>
      </c>
      <c r="O379" s="30"/>
      <c r="P379" s="30"/>
      <c r="Q379" s="30"/>
      <c r="R379" s="30"/>
      <c r="S379" s="30"/>
      <c r="T379" s="30"/>
      <c r="U379" s="30" t="n">
        <v>566.64</v>
      </c>
      <c r="V379" s="30"/>
      <c r="W379" s="30" t="n">
        <v>100.42</v>
      </c>
      <c r="X379" s="30" t="s">
        <v>1006</v>
      </c>
      <c r="Y379" s="30" t="n">
        <v>100.42</v>
      </c>
      <c r="Z379" s="30" t="s">
        <v>1006</v>
      </c>
      <c r="AA379" s="30" t="n">
        <v>100.42</v>
      </c>
      <c r="AB379" s="30" t="s">
        <v>1006</v>
      </c>
      <c r="AC379" s="30" t="n">
        <v>100.42</v>
      </c>
      <c r="AD379" s="30" t="s">
        <v>1006</v>
      </c>
      <c r="AE379" s="30" t="n">
        <v>29.15</v>
      </c>
      <c r="AF379" s="30" t="s">
        <v>1006</v>
      </c>
      <c r="AG379" s="30" t="n">
        <v>0</v>
      </c>
      <c r="AH379" s="30" t="s">
        <v>1006</v>
      </c>
      <c r="AI379" s="30" t="n">
        <v>0</v>
      </c>
      <c r="AJ379" s="30" t="s">
        <v>1006</v>
      </c>
      <c r="AK379" s="30" t="n">
        <v>0</v>
      </c>
      <c r="AL379" s="30" t="s">
        <v>1006</v>
      </c>
      <c r="AM379" s="30" t="n">
        <v>0</v>
      </c>
      <c r="AN379" s="30" t="s">
        <v>1006</v>
      </c>
      <c r="AO379" s="30" t="n">
        <v>51.05</v>
      </c>
      <c r="AP379" s="30" t="s">
        <v>1005</v>
      </c>
      <c r="AQ379" s="30" t="n">
        <v>74.81</v>
      </c>
      <c r="AR379" s="30" t="s">
        <v>1005</v>
      </c>
      <c r="AS379" s="30" t="n">
        <v>105.6</v>
      </c>
      <c r="AT379" s="30" t="s">
        <v>1005</v>
      </c>
      <c r="AU379" s="30" t="n">
        <v>662.29</v>
      </c>
      <c r="AV379" s="30" t="n">
        <v>0.337</v>
      </c>
      <c r="AW379" s="30" t="s">
        <v>1013</v>
      </c>
      <c r="AX379" s="30" t="s">
        <v>1008</v>
      </c>
      <c r="AY379" s="30" t="n">
        <v>1</v>
      </c>
      <c r="AZ379" s="30"/>
    </row>
    <row collapsed="false" customFormat="true" customHeight="true" hidden="false" ht="33" outlineLevel="0" r="380" s="73">
      <c r="A380" s="30" t="n">
        <v>409</v>
      </c>
      <c r="B380" s="30" t="s">
        <v>587</v>
      </c>
      <c r="C380" s="30" t="s">
        <v>1009</v>
      </c>
      <c r="D380" s="30" t="s">
        <v>999</v>
      </c>
      <c r="E380" s="30" t="s">
        <v>1010</v>
      </c>
      <c r="F380" s="30" t="s">
        <v>1011</v>
      </c>
      <c r="G380" s="30" t="s">
        <v>1002</v>
      </c>
      <c r="H380" s="30" t="s">
        <v>1003</v>
      </c>
      <c r="I380" s="30" t="n">
        <v>1</v>
      </c>
      <c r="J380" s="30"/>
      <c r="K380" s="30" t="n">
        <v>57</v>
      </c>
      <c r="L380" s="30"/>
      <c r="M380" s="30" t="s">
        <v>1012</v>
      </c>
      <c r="N380" s="30" t="s">
        <v>54</v>
      </c>
      <c r="O380" s="30"/>
      <c r="P380" s="30"/>
      <c r="Q380" s="30"/>
      <c r="R380" s="30"/>
      <c r="S380" s="30"/>
      <c r="T380" s="30"/>
      <c r="U380" s="30" t="n">
        <v>566.64</v>
      </c>
      <c r="V380" s="30" t="n">
        <v>982.86</v>
      </c>
      <c r="W380" s="30" t="n">
        <v>100.46</v>
      </c>
      <c r="X380" s="30" t="s">
        <v>1006</v>
      </c>
      <c r="Y380" s="30" t="n">
        <v>107.9</v>
      </c>
      <c r="Z380" s="30" t="s">
        <v>1005</v>
      </c>
      <c r="AA380" s="30" t="n">
        <v>100.46</v>
      </c>
      <c r="AB380" s="30" t="s">
        <v>1006</v>
      </c>
      <c r="AC380" s="30" t="n">
        <v>100.46</v>
      </c>
      <c r="AD380" s="30" t="s">
        <v>1006</v>
      </c>
      <c r="AE380" s="30" t="n">
        <v>29.16</v>
      </c>
      <c r="AF380" s="30" t="s">
        <v>1006</v>
      </c>
      <c r="AG380" s="30" t="n">
        <v>0</v>
      </c>
      <c r="AH380" s="30" t="s">
        <v>1006</v>
      </c>
      <c r="AI380" s="30" t="n">
        <v>0</v>
      </c>
      <c r="AJ380" s="30" t="s">
        <v>1006</v>
      </c>
      <c r="AK380" s="30" t="n">
        <v>0</v>
      </c>
      <c r="AL380" s="30" t="s">
        <v>1006</v>
      </c>
      <c r="AM380" s="30" t="n">
        <v>0</v>
      </c>
      <c r="AN380" s="30" t="s">
        <v>1006</v>
      </c>
      <c r="AO380" s="30" t="n">
        <v>62.1</v>
      </c>
      <c r="AP380" s="30" t="s">
        <v>1005</v>
      </c>
      <c r="AQ380" s="30" t="n">
        <v>62.76</v>
      </c>
      <c r="AR380" s="30" t="s">
        <v>1005</v>
      </c>
      <c r="AS380" s="30" t="n">
        <v>86.29</v>
      </c>
      <c r="AT380" s="30" t="s">
        <v>1005</v>
      </c>
      <c r="AU380" s="30" t="n">
        <v>649.59</v>
      </c>
      <c r="AV380" s="30" t="n">
        <v>0.337</v>
      </c>
      <c r="AW380" s="30" t="s">
        <v>1013</v>
      </c>
      <c r="AX380" s="30" t="s">
        <v>1008</v>
      </c>
      <c r="AY380" s="30" t="n">
        <v>1</v>
      </c>
      <c r="AZ380" s="30"/>
    </row>
    <row collapsed="false" customFormat="true" customHeight="true" hidden="false" ht="33" outlineLevel="0" r="381" s="73">
      <c r="A381" s="30" t="n">
        <v>410</v>
      </c>
      <c r="B381" s="30" t="s">
        <v>588</v>
      </c>
      <c r="C381" s="30" t="s">
        <v>1009</v>
      </c>
      <c r="D381" s="30" t="s">
        <v>999</v>
      </c>
      <c r="E381" s="30" t="s">
        <v>1010</v>
      </c>
      <c r="F381" s="30" t="s">
        <v>1011</v>
      </c>
      <c r="G381" s="30" t="s">
        <v>1002</v>
      </c>
      <c r="H381" s="30" t="s">
        <v>1003</v>
      </c>
      <c r="I381" s="30" t="n">
        <v>1</v>
      </c>
      <c r="J381" s="30"/>
      <c r="K381" s="30" t="n">
        <v>57</v>
      </c>
      <c r="L381" s="30"/>
      <c r="M381" s="30" t="s">
        <v>1012</v>
      </c>
      <c r="N381" s="30" t="s">
        <v>54</v>
      </c>
      <c r="O381" s="30"/>
      <c r="P381" s="30"/>
      <c r="Q381" s="30"/>
      <c r="R381" s="30"/>
      <c r="S381" s="30"/>
      <c r="T381" s="30"/>
      <c r="U381" s="30" t="n">
        <v>608.21</v>
      </c>
      <c r="V381" s="30" t="n">
        <v>849.8</v>
      </c>
      <c r="W381" s="30" t="n">
        <v>82.23</v>
      </c>
      <c r="X381" s="30" t="s">
        <v>1006</v>
      </c>
      <c r="Y381" s="30" t="n">
        <v>83.54</v>
      </c>
      <c r="Z381" s="30" t="s">
        <v>1005</v>
      </c>
      <c r="AA381" s="30" t="n">
        <v>82.23</v>
      </c>
      <c r="AB381" s="30" t="s">
        <v>1006</v>
      </c>
      <c r="AC381" s="30" t="n">
        <v>49.87</v>
      </c>
      <c r="AD381" s="30" t="s">
        <v>1005</v>
      </c>
      <c r="AE381" s="30" t="n">
        <v>24.69</v>
      </c>
      <c r="AF381" s="30" t="s">
        <v>1005</v>
      </c>
      <c r="AG381" s="30" t="n">
        <v>0</v>
      </c>
      <c r="AH381" s="30" t="s">
        <v>1005</v>
      </c>
      <c r="AI381" s="30" t="n">
        <v>0</v>
      </c>
      <c r="AJ381" s="30" t="s">
        <v>1005</v>
      </c>
      <c r="AK381" s="30" t="n">
        <v>0</v>
      </c>
      <c r="AL381" s="30" t="s">
        <v>1005</v>
      </c>
      <c r="AM381" s="30" t="n">
        <v>0</v>
      </c>
      <c r="AN381" s="30" t="s">
        <v>1005</v>
      </c>
      <c r="AO381" s="30" t="n">
        <v>54.87</v>
      </c>
      <c r="AP381" s="30" t="s">
        <v>1005</v>
      </c>
      <c r="AQ381" s="30" t="n">
        <v>48.63</v>
      </c>
      <c r="AR381" s="30" t="s">
        <v>1005</v>
      </c>
      <c r="AS381" s="30" t="n">
        <v>81.26</v>
      </c>
      <c r="AT381" s="30" t="s">
        <v>1005</v>
      </c>
      <c r="AU381" s="30" t="n">
        <v>507.32</v>
      </c>
      <c r="AV381" s="30" t="n">
        <v>0.369</v>
      </c>
      <c r="AW381" s="30" t="s">
        <v>1013</v>
      </c>
      <c r="AX381" s="30" t="s">
        <v>1008</v>
      </c>
      <c r="AY381" s="30" t="n">
        <v>1</v>
      </c>
      <c r="AZ381" s="30"/>
    </row>
    <row collapsed="false" customFormat="true" customHeight="true" hidden="false" ht="33" outlineLevel="0" r="382" s="73">
      <c r="A382" s="30" t="n">
        <v>411</v>
      </c>
      <c r="B382" s="30" t="s">
        <v>589</v>
      </c>
      <c r="C382" s="30" t="s">
        <v>1009</v>
      </c>
      <c r="D382" s="30" t="s">
        <v>999</v>
      </c>
      <c r="E382" s="30" t="s">
        <v>1010</v>
      </c>
      <c r="F382" s="30" t="s">
        <v>1011</v>
      </c>
      <c r="G382" s="30" t="s">
        <v>1002</v>
      </c>
      <c r="H382" s="30" t="s">
        <v>1003</v>
      </c>
      <c r="I382" s="30" t="n">
        <v>1</v>
      </c>
      <c r="J382" s="30"/>
      <c r="K382" s="30" t="n">
        <v>57</v>
      </c>
      <c r="L382" s="30"/>
      <c r="M382" s="30" t="s">
        <v>1012</v>
      </c>
      <c r="N382" s="30" t="s">
        <v>54</v>
      </c>
      <c r="O382" s="30"/>
      <c r="P382" s="30"/>
      <c r="Q382" s="30"/>
      <c r="R382" s="30"/>
      <c r="S382" s="30"/>
      <c r="T382" s="30"/>
      <c r="U382" s="30" t="n">
        <v>710.38</v>
      </c>
      <c r="V382" s="30" t="n">
        <v>906.41</v>
      </c>
      <c r="W382" s="30" t="n">
        <v>129.53</v>
      </c>
      <c r="X382" s="30" t="s">
        <v>1005</v>
      </c>
      <c r="Y382" s="30" t="n">
        <v>102.72</v>
      </c>
      <c r="Z382" s="30" t="s">
        <v>1005</v>
      </c>
      <c r="AA382" s="30" t="n">
        <v>138.46</v>
      </c>
      <c r="AB382" s="30" t="s">
        <v>1005</v>
      </c>
      <c r="AC382" s="30" t="n">
        <v>43.79</v>
      </c>
      <c r="AD382" s="30" t="s">
        <v>1005</v>
      </c>
      <c r="AE382" s="30" t="n">
        <v>26.63</v>
      </c>
      <c r="AF382" s="30" t="s">
        <v>1005</v>
      </c>
      <c r="AG382" s="30" t="n">
        <v>0</v>
      </c>
      <c r="AH382" s="30" t="s">
        <v>1005</v>
      </c>
      <c r="AI382" s="30" t="n">
        <v>0</v>
      </c>
      <c r="AJ382" s="30" t="s">
        <v>1005</v>
      </c>
      <c r="AK382" s="30" t="n">
        <v>0</v>
      </c>
      <c r="AL382" s="30" t="s">
        <v>1005</v>
      </c>
      <c r="AM382" s="30" t="n">
        <v>0</v>
      </c>
      <c r="AN382" s="30" t="s">
        <v>1005</v>
      </c>
      <c r="AO382" s="30" t="n">
        <v>49.48</v>
      </c>
      <c r="AP382" s="30" t="s">
        <v>1005</v>
      </c>
      <c r="AQ382" s="30" t="n">
        <v>49.34</v>
      </c>
      <c r="AR382" s="30" t="s">
        <v>1005</v>
      </c>
      <c r="AS382" s="30" t="n">
        <v>59.08</v>
      </c>
      <c r="AT382" s="30" t="s">
        <v>1005</v>
      </c>
      <c r="AU382" s="30" t="n">
        <v>599.03</v>
      </c>
      <c r="AV382" s="30" t="n">
        <v>0.431</v>
      </c>
      <c r="AW382" s="30" t="s">
        <v>1013</v>
      </c>
      <c r="AX382" s="30" t="s">
        <v>1008</v>
      </c>
      <c r="AY382" s="30" t="n">
        <v>1</v>
      </c>
      <c r="AZ382" s="30"/>
    </row>
    <row collapsed="false" customFormat="true" customHeight="true" hidden="false" ht="33" outlineLevel="0" r="383" s="73">
      <c r="A383" s="30" t="n">
        <v>412</v>
      </c>
      <c r="B383" s="30" t="s">
        <v>591</v>
      </c>
      <c r="C383" s="30" t="s">
        <v>1009</v>
      </c>
      <c r="D383" s="30" t="s">
        <v>999</v>
      </c>
      <c r="E383" s="30" t="s">
        <v>1010</v>
      </c>
      <c r="F383" s="30" t="s">
        <v>1011</v>
      </c>
      <c r="G383" s="30" t="s">
        <v>1002</v>
      </c>
      <c r="H383" s="30" t="s">
        <v>1003</v>
      </c>
      <c r="I383" s="30" t="n">
        <v>1</v>
      </c>
      <c r="J383" s="30"/>
      <c r="K383" s="30" t="n">
        <v>57</v>
      </c>
      <c r="L383" s="30"/>
      <c r="M383" s="30" t="s">
        <v>1012</v>
      </c>
      <c r="N383" s="30" t="s">
        <v>54</v>
      </c>
      <c r="O383" s="30"/>
      <c r="P383" s="30"/>
      <c r="Q383" s="30"/>
      <c r="R383" s="30"/>
      <c r="S383" s="30"/>
      <c r="T383" s="30"/>
      <c r="U383" s="30" t="n">
        <v>357.26</v>
      </c>
      <c r="V383" s="30" t="n">
        <v>330.48</v>
      </c>
      <c r="W383" s="30" t="n">
        <v>67.41</v>
      </c>
      <c r="X383" s="30" t="s">
        <v>1006</v>
      </c>
      <c r="Y383" s="30" t="n">
        <v>65.61</v>
      </c>
      <c r="Z383" s="30" t="s">
        <v>1006</v>
      </c>
      <c r="AA383" s="30" t="n">
        <v>65.61</v>
      </c>
      <c r="AB383" s="30" t="s">
        <v>1006</v>
      </c>
      <c r="AC383" s="30" t="n">
        <v>65.61</v>
      </c>
      <c r="AD383" s="30" t="s">
        <v>1006</v>
      </c>
      <c r="AE383" s="30" t="n">
        <v>19.04</v>
      </c>
      <c r="AF383" s="30" t="s">
        <v>1006</v>
      </c>
      <c r="AG383" s="30" t="n">
        <v>0</v>
      </c>
      <c r="AH383" s="30" t="s">
        <v>1006</v>
      </c>
      <c r="AI383" s="30" t="n">
        <v>0</v>
      </c>
      <c r="AJ383" s="30" t="s">
        <v>1006</v>
      </c>
      <c r="AK383" s="30" t="n">
        <v>0</v>
      </c>
      <c r="AL383" s="30" t="s">
        <v>1006</v>
      </c>
      <c r="AM383" s="30" t="n">
        <v>0</v>
      </c>
      <c r="AN383" s="30" t="s">
        <v>1006</v>
      </c>
      <c r="AO383" s="30" t="n">
        <v>62.67</v>
      </c>
      <c r="AP383" s="30" t="s">
        <v>1006</v>
      </c>
      <c r="AQ383" s="30" t="n">
        <v>62.67</v>
      </c>
      <c r="AR383" s="30" t="s">
        <v>1006</v>
      </c>
      <c r="AS383" s="30" t="n">
        <v>35.13</v>
      </c>
      <c r="AT383" s="30" t="s">
        <v>1005</v>
      </c>
      <c r="AU383" s="30" t="n">
        <v>443.75</v>
      </c>
      <c r="AV383" s="30" t="n">
        <v>0.214</v>
      </c>
      <c r="AW383" s="30" t="s">
        <v>1013</v>
      </c>
      <c r="AX383" s="30" t="s">
        <v>1008</v>
      </c>
      <c r="AY383" s="30" t="n">
        <v>1</v>
      </c>
      <c r="AZ383" s="30"/>
    </row>
    <row collapsed="false" customFormat="true" customHeight="true" hidden="false" ht="33" outlineLevel="0" r="384" s="73">
      <c r="A384" s="30" t="n">
        <v>413</v>
      </c>
      <c r="B384" s="30" t="s">
        <v>592</v>
      </c>
      <c r="C384" s="30" t="s">
        <v>1009</v>
      </c>
      <c r="D384" s="30" t="s">
        <v>999</v>
      </c>
      <c r="E384" s="30" t="s">
        <v>1010</v>
      </c>
      <c r="F384" s="30" t="s">
        <v>1011</v>
      </c>
      <c r="G384" s="30" t="s">
        <v>1002</v>
      </c>
      <c r="H384" s="30" t="s">
        <v>1003</v>
      </c>
      <c r="I384" s="30" t="n">
        <v>1</v>
      </c>
      <c r="J384" s="30"/>
      <c r="K384" s="30" t="n">
        <v>57</v>
      </c>
      <c r="L384" s="30"/>
      <c r="M384" s="30" t="s">
        <v>1012</v>
      </c>
      <c r="N384" s="30" t="s">
        <v>54</v>
      </c>
      <c r="O384" s="30"/>
      <c r="P384" s="30"/>
      <c r="Q384" s="30"/>
      <c r="R384" s="30"/>
      <c r="S384" s="30"/>
      <c r="T384" s="30"/>
      <c r="U384" s="30" t="n">
        <v>445.74</v>
      </c>
      <c r="V384" s="30" t="n">
        <v>417.36</v>
      </c>
      <c r="W384" s="30" t="n">
        <v>69.63</v>
      </c>
      <c r="X384" s="30" t="s">
        <v>1006</v>
      </c>
      <c r="Y384" s="30" t="n">
        <v>69.63</v>
      </c>
      <c r="Z384" s="30" t="s">
        <v>1006</v>
      </c>
      <c r="AA384" s="30" t="n">
        <v>69.63</v>
      </c>
      <c r="AB384" s="30" t="s">
        <v>1006</v>
      </c>
      <c r="AC384" s="30" t="n">
        <v>69.63</v>
      </c>
      <c r="AD384" s="30" t="s">
        <v>1006</v>
      </c>
      <c r="AE384" s="30" t="n">
        <v>20.21</v>
      </c>
      <c r="AF384" s="30" t="s">
        <v>1006</v>
      </c>
      <c r="AG384" s="30" t="n">
        <v>0</v>
      </c>
      <c r="AH384" s="30" t="s">
        <v>1006</v>
      </c>
      <c r="AI384" s="30" t="n">
        <v>0</v>
      </c>
      <c r="AJ384" s="30" t="s">
        <v>1006</v>
      </c>
      <c r="AK384" s="30" t="n">
        <v>0</v>
      </c>
      <c r="AL384" s="30" t="s">
        <v>1006</v>
      </c>
      <c r="AM384" s="30" t="n">
        <v>0</v>
      </c>
      <c r="AN384" s="30" t="s">
        <v>1006</v>
      </c>
      <c r="AO384" s="30" t="n">
        <v>33.09</v>
      </c>
      <c r="AP384" s="30" t="s">
        <v>1005</v>
      </c>
      <c r="AQ384" s="30" t="n">
        <v>48.15</v>
      </c>
      <c r="AR384" s="30" t="s">
        <v>1005</v>
      </c>
      <c r="AS384" s="30" t="n">
        <v>70.77</v>
      </c>
      <c r="AT384" s="30" t="s">
        <v>1005</v>
      </c>
      <c r="AU384" s="30" t="n">
        <v>450.74</v>
      </c>
      <c r="AV384" s="30" t="n">
        <v>0.265</v>
      </c>
      <c r="AW384" s="30" t="s">
        <v>1013</v>
      </c>
      <c r="AX384" s="30" t="s">
        <v>1008</v>
      </c>
      <c r="AY384" s="30" t="n">
        <v>1</v>
      </c>
      <c r="AZ384" s="30"/>
    </row>
    <row collapsed="false" customFormat="true" customHeight="true" hidden="false" ht="33" outlineLevel="0" r="385" s="73">
      <c r="A385" s="30" t="n">
        <v>414</v>
      </c>
      <c r="B385" s="30" t="s">
        <v>594</v>
      </c>
      <c r="C385" s="30" t="s">
        <v>1009</v>
      </c>
      <c r="D385" s="30" t="s">
        <v>999</v>
      </c>
      <c r="E385" s="30" t="s">
        <v>1010</v>
      </c>
      <c r="F385" s="30" t="s">
        <v>1011</v>
      </c>
      <c r="G385" s="30" t="s">
        <v>1002</v>
      </c>
      <c r="H385" s="30" t="s">
        <v>1003</v>
      </c>
      <c r="I385" s="30" t="n">
        <v>0</v>
      </c>
      <c r="J385" s="30"/>
      <c r="K385" s="30" t="n">
        <v>57</v>
      </c>
      <c r="L385" s="30"/>
      <c r="M385" s="30" t="s">
        <v>1012</v>
      </c>
      <c r="N385" s="30" t="s">
        <v>54</v>
      </c>
      <c r="O385" s="30"/>
      <c r="P385" s="30"/>
      <c r="Q385" s="30"/>
      <c r="R385" s="30"/>
      <c r="S385" s="30"/>
      <c r="T385" s="30"/>
      <c r="U385" s="30" t="n">
        <v>216.99</v>
      </c>
      <c r="V385" s="30" t="n">
        <v>203.2</v>
      </c>
      <c r="W385" s="30" t="n">
        <v>49.96</v>
      </c>
      <c r="X385" s="30" t="s">
        <v>1005</v>
      </c>
      <c r="Y385" s="30" t="n">
        <v>37.43</v>
      </c>
      <c r="Z385" s="30" t="s">
        <v>1005</v>
      </c>
      <c r="AA385" s="30" t="n">
        <v>44.87</v>
      </c>
      <c r="AB385" s="30" t="s">
        <v>1005</v>
      </c>
      <c r="AC385" s="30" t="n">
        <v>21</v>
      </c>
      <c r="AD385" s="30" t="s">
        <v>1005</v>
      </c>
      <c r="AE385" s="30" t="n">
        <v>10.35</v>
      </c>
      <c r="AF385" s="30" t="s">
        <v>1006</v>
      </c>
      <c r="AG385" s="30" t="n">
        <v>0</v>
      </c>
      <c r="AH385" s="30" t="s">
        <v>1006</v>
      </c>
      <c r="AI385" s="30" t="n">
        <v>0</v>
      </c>
      <c r="AJ385" s="30" t="s">
        <v>1006</v>
      </c>
      <c r="AK385" s="30" t="n">
        <v>0</v>
      </c>
      <c r="AL385" s="30" t="s">
        <v>1006</v>
      </c>
      <c r="AM385" s="30" t="n">
        <v>0</v>
      </c>
      <c r="AN385" s="30" t="s">
        <v>1006</v>
      </c>
      <c r="AO385" s="30" t="n">
        <v>20.09</v>
      </c>
      <c r="AP385" s="30" t="s">
        <v>1005</v>
      </c>
      <c r="AQ385" s="30" t="n">
        <v>20.88</v>
      </c>
      <c r="AR385" s="30" t="s">
        <v>1005</v>
      </c>
      <c r="AS385" s="30" t="n">
        <v>31.85</v>
      </c>
      <c r="AT385" s="30" t="s">
        <v>1005</v>
      </c>
      <c r="AU385" s="30" t="n">
        <v>236.43</v>
      </c>
      <c r="AV385" s="30" t="n">
        <v>0.129</v>
      </c>
      <c r="AW385" s="30" t="s">
        <v>1013</v>
      </c>
      <c r="AX385" s="30" t="s">
        <v>1008</v>
      </c>
      <c r="AY385" s="30"/>
      <c r="AZ385" s="30"/>
    </row>
    <row collapsed="false" customFormat="true" customHeight="true" hidden="false" ht="33" outlineLevel="0" r="386" s="73">
      <c r="A386" s="30" t="n">
        <v>415</v>
      </c>
      <c r="B386" s="30" t="s">
        <v>595</v>
      </c>
      <c r="C386" s="30" t="s">
        <v>1009</v>
      </c>
      <c r="D386" s="30" t="s">
        <v>999</v>
      </c>
      <c r="E386" s="30" t="s">
        <v>1010</v>
      </c>
      <c r="F386" s="30" t="s">
        <v>1011</v>
      </c>
      <c r="G386" s="30" t="s">
        <v>1002</v>
      </c>
      <c r="H386" s="30" t="s">
        <v>1003</v>
      </c>
      <c r="I386" s="30" t="n">
        <v>1</v>
      </c>
      <c r="J386" s="30"/>
      <c r="K386" s="30" t="n">
        <v>57</v>
      </c>
      <c r="L386" s="30"/>
      <c r="M386" s="30" t="s">
        <v>1012</v>
      </c>
      <c r="N386" s="30" t="s">
        <v>54</v>
      </c>
      <c r="O386" s="30"/>
      <c r="P386" s="30"/>
      <c r="Q386" s="30"/>
      <c r="R386" s="30"/>
      <c r="S386" s="30"/>
      <c r="T386" s="30"/>
      <c r="U386" s="30" t="n">
        <v>220.36</v>
      </c>
      <c r="V386" s="30" t="n">
        <v>103.59</v>
      </c>
      <c r="W386" s="30" t="n">
        <v>50.73</v>
      </c>
      <c r="X386" s="30" t="s">
        <v>1005</v>
      </c>
      <c r="Y386" s="30" t="n">
        <v>38.02</v>
      </c>
      <c r="Z386" s="30" t="s">
        <v>1005</v>
      </c>
      <c r="AA386" s="30" t="n">
        <v>45.38</v>
      </c>
      <c r="AB386" s="30" t="s">
        <v>1005</v>
      </c>
      <c r="AC386" s="30" t="n">
        <v>19.57</v>
      </c>
      <c r="AD386" s="30" t="s">
        <v>1005</v>
      </c>
      <c r="AE386" s="30" t="n">
        <v>8.99</v>
      </c>
      <c r="AF386" s="30" t="s">
        <v>1006</v>
      </c>
      <c r="AG386" s="30" t="n">
        <v>0</v>
      </c>
      <c r="AH386" s="30" t="s">
        <v>1006</v>
      </c>
      <c r="AI386" s="30" t="n">
        <v>0</v>
      </c>
      <c r="AJ386" s="30" t="s">
        <v>1006</v>
      </c>
      <c r="AK386" s="30" t="n">
        <v>0</v>
      </c>
      <c r="AL386" s="30" t="s">
        <v>1006</v>
      </c>
      <c r="AM386" s="30" t="n">
        <v>0</v>
      </c>
      <c r="AN386" s="30" t="s">
        <v>1006</v>
      </c>
      <c r="AO386" s="30" t="n">
        <v>19.08</v>
      </c>
      <c r="AP386" s="30" t="s">
        <v>1005</v>
      </c>
      <c r="AQ386" s="30" t="n">
        <v>21.2</v>
      </c>
      <c r="AR386" s="30" t="s">
        <v>1005</v>
      </c>
      <c r="AS386" s="30" t="n">
        <v>32.35</v>
      </c>
      <c r="AT386" s="30" t="s">
        <v>1005</v>
      </c>
      <c r="AU386" s="30" t="n">
        <v>235.32</v>
      </c>
      <c r="AV386" s="30" t="n">
        <v>0.131</v>
      </c>
      <c r="AW386" s="30" t="s">
        <v>1013</v>
      </c>
      <c r="AX386" s="30" t="s">
        <v>1008</v>
      </c>
      <c r="AY386" s="30" t="n">
        <v>1</v>
      </c>
      <c r="AZ386" s="30"/>
    </row>
    <row collapsed="false" customFormat="true" customHeight="true" hidden="false" ht="33" outlineLevel="0" r="387" s="73">
      <c r="A387" s="30" t="n">
        <v>416</v>
      </c>
      <c r="B387" s="30" t="s">
        <v>596</v>
      </c>
      <c r="C387" s="30" t="s">
        <v>1009</v>
      </c>
      <c r="D387" s="30" t="s">
        <v>999</v>
      </c>
      <c r="E387" s="30" t="s">
        <v>1010</v>
      </c>
      <c r="F387" s="30" t="s">
        <v>1011</v>
      </c>
      <c r="G387" s="30" t="s">
        <v>1002</v>
      </c>
      <c r="H387" s="30" t="s">
        <v>1003</v>
      </c>
      <c r="I387" s="30" t="n">
        <v>1</v>
      </c>
      <c r="J387" s="30"/>
      <c r="K387" s="30" t="n">
        <v>57</v>
      </c>
      <c r="L387" s="30"/>
      <c r="M387" s="30" t="s">
        <v>1012</v>
      </c>
      <c r="N387" s="30" t="s">
        <v>54</v>
      </c>
      <c r="O387" s="30"/>
      <c r="P387" s="30"/>
      <c r="Q387" s="30"/>
      <c r="R387" s="30"/>
      <c r="S387" s="30"/>
      <c r="T387" s="30"/>
      <c r="U387" s="30" t="n">
        <v>725.19</v>
      </c>
      <c r="V387" s="30" t="n">
        <v>899.82</v>
      </c>
      <c r="W387" s="30" t="n">
        <v>149.2</v>
      </c>
      <c r="X387" s="30" t="s">
        <v>1005</v>
      </c>
      <c r="Y387" s="30" t="n">
        <v>98.86</v>
      </c>
      <c r="Z387" s="30" t="s">
        <v>1006</v>
      </c>
      <c r="AA387" s="30" t="n">
        <v>98.86</v>
      </c>
      <c r="AB387" s="30" t="s">
        <v>1006</v>
      </c>
      <c r="AC387" s="30" t="n">
        <v>98.86</v>
      </c>
      <c r="AD387" s="30" t="s">
        <v>1006</v>
      </c>
      <c r="AE387" s="30" t="n">
        <v>28.7</v>
      </c>
      <c r="AF387" s="30" t="s">
        <v>1006</v>
      </c>
      <c r="AG387" s="30" t="n">
        <v>0</v>
      </c>
      <c r="AH387" s="30" t="s">
        <v>1006</v>
      </c>
      <c r="AI387" s="30" t="n">
        <v>0</v>
      </c>
      <c r="AJ387" s="30" t="s">
        <v>1006</v>
      </c>
      <c r="AK387" s="30" t="n">
        <v>0</v>
      </c>
      <c r="AL387" s="30" t="s">
        <v>1006</v>
      </c>
      <c r="AM387" s="30" t="n">
        <v>0</v>
      </c>
      <c r="AN387" s="30" t="s">
        <v>1006</v>
      </c>
      <c r="AO387" s="30" t="n">
        <v>62.84</v>
      </c>
      <c r="AP387" s="30" t="s">
        <v>1005</v>
      </c>
      <c r="AQ387" s="30" t="n">
        <v>58.73</v>
      </c>
      <c r="AR387" s="30" t="s">
        <v>1005</v>
      </c>
      <c r="AS387" s="30" t="n">
        <v>85.47</v>
      </c>
      <c r="AT387" s="30" t="s">
        <v>1005</v>
      </c>
      <c r="AU387" s="30" t="n">
        <v>681.52</v>
      </c>
      <c r="AV387" s="30" t="n">
        <v>0.431</v>
      </c>
      <c r="AW387" s="30" t="s">
        <v>1013</v>
      </c>
      <c r="AX387" s="30" t="s">
        <v>1008</v>
      </c>
      <c r="AY387" s="30" t="n">
        <v>1</v>
      </c>
      <c r="AZ387" s="30"/>
    </row>
    <row collapsed="false" customFormat="true" customHeight="true" hidden="false" ht="33" outlineLevel="0" r="388" s="73">
      <c r="A388" s="30" t="n">
        <v>417</v>
      </c>
      <c r="B388" s="30" t="s">
        <v>597</v>
      </c>
      <c r="C388" s="30" t="s">
        <v>1009</v>
      </c>
      <c r="D388" s="30" t="s">
        <v>999</v>
      </c>
      <c r="E388" s="30" t="s">
        <v>1010</v>
      </c>
      <c r="F388" s="30" t="s">
        <v>1011</v>
      </c>
      <c r="G388" s="30" t="s">
        <v>1002</v>
      </c>
      <c r="H388" s="30" t="s">
        <v>1003</v>
      </c>
      <c r="I388" s="30" t="n">
        <v>1</v>
      </c>
      <c r="J388" s="30"/>
      <c r="K388" s="30" t="n">
        <v>57</v>
      </c>
      <c r="L388" s="30"/>
      <c r="M388" s="30" t="s">
        <v>1012</v>
      </c>
      <c r="N388" s="30" t="s">
        <v>54</v>
      </c>
      <c r="O388" s="30"/>
      <c r="P388" s="30"/>
      <c r="Q388" s="30"/>
      <c r="R388" s="30"/>
      <c r="S388" s="30"/>
      <c r="T388" s="30"/>
      <c r="U388" s="30" t="n">
        <v>371.92</v>
      </c>
      <c r="V388" s="30" t="n">
        <v>388.97</v>
      </c>
      <c r="W388" s="30" t="n">
        <v>46.61</v>
      </c>
      <c r="X388" s="30" t="s">
        <v>1006</v>
      </c>
      <c r="Y388" s="30" t="n">
        <v>33.24</v>
      </c>
      <c r="Z388" s="30" t="s">
        <v>1005</v>
      </c>
      <c r="AA388" s="30" t="n">
        <v>46.32</v>
      </c>
      <c r="AB388" s="30" t="s">
        <v>1006</v>
      </c>
      <c r="AC388" s="30" t="n">
        <v>24.52</v>
      </c>
      <c r="AD388" s="30" t="s">
        <v>1005</v>
      </c>
      <c r="AE388" s="30" t="n">
        <v>14.34</v>
      </c>
      <c r="AF388" s="30" t="s">
        <v>1005</v>
      </c>
      <c r="AG388" s="30" t="n">
        <v>0</v>
      </c>
      <c r="AH388" s="30" t="s">
        <v>1005</v>
      </c>
      <c r="AI388" s="30" t="n">
        <v>0</v>
      </c>
      <c r="AJ388" s="30" t="s">
        <v>1005</v>
      </c>
      <c r="AK388" s="30" t="n">
        <v>0</v>
      </c>
      <c r="AL388" s="30" t="s">
        <v>1005</v>
      </c>
      <c r="AM388" s="30" t="n">
        <v>0</v>
      </c>
      <c r="AN388" s="30" t="s">
        <v>1005</v>
      </c>
      <c r="AO388" s="30" t="n">
        <v>43.86</v>
      </c>
      <c r="AP388" s="30" t="s">
        <v>1006</v>
      </c>
      <c r="AQ388" s="30" t="n">
        <v>28.55</v>
      </c>
      <c r="AR388" s="30" t="s">
        <v>1005</v>
      </c>
      <c r="AS388" s="30" t="n">
        <v>49.63</v>
      </c>
      <c r="AT388" s="30" t="s">
        <v>1005</v>
      </c>
      <c r="AU388" s="30" t="n">
        <v>287.07</v>
      </c>
      <c r="AV388" s="30" t="n">
        <v>0.222</v>
      </c>
      <c r="AW388" s="30" t="s">
        <v>1013</v>
      </c>
      <c r="AX388" s="30" t="s">
        <v>1008</v>
      </c>
      <c r="AY388" s="30" t="n">
        <v>1</v>
      </c>
      <c r="AZ388" s="30"/>
    </row>
    <row collapsed="false" customFormat="true" customHeight="true" hidden="false" ht="33" outlineLevel="0" r="389" s="73">
      <c r="A389" s="30" t="n">
        <v>418</v>
      </c>
      <c r="B389" s="30" t="s">
        <v>598</v>
      </c>
      <c r="C389" s="30" t="s">
        <v>1009</v>
      </c>
      <c r="D389" s="30" t="s">
        <v>999</v>
      </c>
      <c r="E389" s="30" t="s">
        <v>1010</v>
      </c>
      <c r="F389" s="30" t="s">
        <v>1011</v>
      </c>
      <c r="G389" s="30" t="s">
        <v>1002</v>
      </c>
      <c r="H389" s="30" t="s">
        <v>1003</v>
      </c>
      <c r="I389" s="30" t="n">
        <v>1</v>
      </c>
      <c r="J389" s="30"/>
      <c r="K389" s="30" t="n">
        <v>57</v>
      </c>
      <c r="L389" s="30"/>
      <c r="M389" s="30" t="s">
        <v>1012</v>
      </c>
      <c r="N389" s="30" t="s">
        <v>54</v>
      </c>
      <c r="O389" s="30"/>
      <c r="P389" s="30"/>
      <c r="Q389" s="30"/>
      <c r="R389" s="30"/>
      <c r="S389" s="30"/>
      <c r="T389" s="30"/>
      <c r="U389" s="30" t="n">
        <v>748.73</v>
      </c>
      <c r="V389" s="30" t="n">
        <v>999.44</v>
      </c>
      <c r="W389" s="30" t="n">
        <v>168.25</v>
      </c>
      <c r="X389" s="30" t="s">
        <v>1005</v>
      </c>
      <c r="Y389" s="30" t="n">
        <v>113.02</v>
      </c>
      <c r="Z389" s="30" t="s">
        <v>1005</v>
      </c>
      <c r="AA389" s="30" t="n">
        <v>144.64</v>
      </c>
      <c r="AB389" s="30" t="s">
        <v>1005</v>
      </c>
      <c r="AC389" s="30" t="n">
        <v>69.17</v>
      </c>
      <c r="AD389" s="30" t="s">
        <v>1005</v>
      </c>
      <c r="AE389" s="30" t="n">
        <v>35.57</v>
      </c>
      <c r="AF389" s="30" t="s">
        <v>1005</v>
      </c>
      <c r="AG389" s="30" t="n">
        <v>0</v>
      </c>
      <c r="AH389" s="30" t="s">
        <v>1005</v>
      </c>
      <c r="AI389" s="30" t="n">
        <v>0</v>
      </c>
      <c r="AJ389" s="30" t="s">
        <v>1005</v>
      </c>
      <c r="AK389" s="30" t="n">
        <v>0</v>
      </c>
      <c r="AL389" s="30" t="s">
        <v>1005</v>
      </c>
      <c r="AM389" s="30" t="n">
        <v>0</v>
      </c>
      <c r="AN389" s="30" t="s">
        <v>1005</v>
      </c>
      <c r="AO389" s="30" t="n">
        <v>121.46</v>
      </c>
      <c r="AP389" s="30" t="s">
        <v>1006</v>
      </c>
      <c r="AQ389" s="30" t="n">
        <v>67.21</v>
      </c>
      <c r="AR389" s="30" t="s">
        <v>1005</v>
      </c>
      <c r="AS389" s="30" t="n">
        <v>109.31</v>
      </c>
      <c r="AT389" s="30" t="s">
        <v>1005</v>
      </c>
      <c r="AU389" s="30" t="n">
        <v>828.63</v>
      </c>
      <c r="AV389" s="30" t="n">
        <v>0.445</v>
      </c>
      <c r="AW389" s="30" t="s">
        <v>1013</v>
      </c>
      <c r="AX389" s="30" t="s">
        <v>1008</v>
      </c>
      <c r="AY389" s="30" t="n">
        <v>1</v>
      </c>
      <c r="AZ389" s="30"/>
    </row>
    <row collapsed="false" customFormat="true" customHeight="true" hidden="false" ht="33" outlineLevel="0" r="390" s="73">
      <c r="A390" s="30" t="n">
        <v>419</v>
      </c>
      <c r="B390" s="30" t="s">
        <v>599</v>
      </c>
      <c r="C390" s="30" t="s">
        <v>1009</v>
      </c>
      <c r="D390" s="30" t="s">
        <v>999</v>
      </c>
      <c r="E390" s="30" t="s">
        <v>1010</v>
      </c>
      <c r="F390" s="30" t="s">
        <v>1011</v>
      </c>
      <c r="G390" s="30" t="s">
        <v>1002</v>
      </c>
      <c r="H390" s="30" t="s">
        <v>1003</v>
      </c>
      <c r="I390" s="30" t="n">
        <v>1</v>
      </c>
      <c r="J390" s="30"/>
      <c r="K390" s="30" t="n">
        <v>57</v>
      </c>
      <c r="L390" s="30"/>
      <c r="M390" s="30" t="s">
        <v>1012</v>
      </c>
      <c r="N390" s="30" t="s">
        <v>54</v>
      </c>
      <c r="O390" s="30"/>
      <c r="P390" s="30"/>
      <c r="Q390" s="30"/>
      <c r="R390" s="30"/>
      <c r="S390" s="30"/>
      <c r="T390" s="30"/>
      <c r="U390" s="30" t="n">
        <v>744.27</v>
      </c>
      <c r="V390" s="30" t="n">
        <v>1232.05</v>
      </c>
      <c r="W390" s="30" t="n">
        <v>127.58</v>
      </c>
      <c r="X390" s="30" t="s">
        <v>1006</v>
      </c>
      <c r="Y390" s="30" t="n">
        <v>127.58</v>
      </c>
      <c r="Z390" s="30" t="s">
        <v>1006</v>
      </c>
      <c r="AA390" s="30" t="n">
        <v>126.32</v>
      </c>
      <c r="AB390" s="30" t="s">
        <v>1005</v>
      </c>
      <c r="AC390" s="30" t="n">
        <v>78.4</v>
      </c>
      <c r="AD390" s="30" t="s">
        <v>1005</v>
      </c>
      <c r="AE390" s="30" t="n">
        <v>37.57</v>
      </c>
      <c r="AF390" s="30" t="s">
        <v>1005</v>
      </c>
      <c r="AG390" s="30" t="n">
        <v>0</v>
      </c>
      <c r="AH390" s="30" t="s">
        <v>1005</v>
      </c>
      <c r="AI390" s="30" t="n">
        <v>0</v>
      </c>
      <c r="AJ390" s="30" t="s">
        <v>1005</v>
      </c>
      <c r="AK390" s="30" t="n">
        <v>0</v>
      </c>
      <c r="AL390" s="30" t="s">
        <v>1005</v>
      </c>
      <c r="AM390" s="30" t="n">
        <v>0</v>
      </c>
      <c r="AN390" s="30" t="s">
        <v>1005</v>
      </c>
      <c r="AO390" s="30" t="n">
        <v>84.38</v>
      </c>
      <c r="AP390" s="30" t="s">
        <v>1005</v>
      </c>
      <c r="AQ390" s="30" t="n">
        <v>80.74</v>
      </c>
      <c r="AR390" s="30" t="s">
        <v>1005</v>
      </c>
      <c r="AS390" s="30" t="n">
        <v>122.24</v>
      </c>
      <c r="AT390" s="30" t="s">
        <v>1005</v>
      </c>
      <c r="AU390" s="30" t="n">
        <v>784.81</v>
      </c>
      <c r="AV390" s="30" t="n">
        <v>0.445</v>
      </c>
      <c r="AW390" s="30" t="s">
        <v>1013</v>
      </c>
      <c r="AX390" s="30" t="s">
        <v>1008</v>
      </c>
      <c r="AY390" s="30" t="n">
        <v>1</v>
      </c>
      <c r="AZ390" s="30"/>
    </row>
    <row collapsed="false" customFormat="true" customHeight="true" hidden="false" ht="33" outlineLevel="0" r="391" s="73">
      <c r="A391" s="30" t="n">
        <v>420</v>
      </c>
      <c r="B391" s="30" t="s">
        <v>600</v>
      </c>
      <c r="C391" s="30" t="s">
        <v>1009</v>
      </c>
      <c r="D391" s="30" t="s">
        <v>999</v>
      </c>
      <c r="E391" s="30" t="s">
        <v>1010</v>
      </c>
      <c r="F391" s="30" t="s">
        <v>1011</v>
      </c>
      <c r="G391" s="30" t="s">
        <v>1002</v>
      </c>
      <c r="H391" s="30" t="s">
        <v>1003</v>
      </c>
      <c r="I391" s="30" t="n">
        <v>1</v>
      </c>
      <c r="J391" s="30"/>
      <c r="K391" s="30" t="n">
        <v>57</v>
      </c>
      <c r="L391" s="30"/>
      <c r="M391" s="30" t="s">
        <v>1012</v>
      </c>
      <c r="N391" s="30" t="s">
        <v>54</v>
      </c>
      <c r="O391" s="30"/>
      <c r="P391" s="30"/>
      <c r="Q391" s="30"/>
      <c r="R391" s="30"/>
      <c r="S391" s="30"/>
      <c r="T391" s="30"/>
      <c r="U391" s="30" t="n">
        <v>667.12</v>
      </c>
      <c r="V391" s="30" t="n">
        <v>623.02</v>
      </c>
      <c r="W391" s="30" t="n">
        <v>76.69</v>
      </c>
      <c r="X391" s="30" t="s">
        <v>1006</v>
      </c>
      <c r="Y391" s="30" t="n">
        <v>76.69</v>
      </c>
      <c r="Z391" s="30" t="s">
        <v>1006</v>
      </c>
      <c r="AA391" s="30" t="n">
        <v>76.69</v>
      </c>
      <c r="AB391" s="30" t="s">
        <v>1006</v>
      </c>
      <c r="AC391" s="30" t="n">
        <v>76.69</v>
      </c>
      <c r="AD391" s="30" t="s">
        <v>1006</v>
      </c>
      <c r="AE391" s="30" t="n">
        <v>22.27</v>
      </c>
      <c r="AF391" s="30" t="s">
        <v>1006</v>
      </c>
      <c r="AG391" s="30" t="n">
        <v>0</v>
      </c>
      <c r="AH391" s="30" t="s">
        <v>1006</v>
      </c>
      <c r="AI391" s="30" t="n">
        <v>0</v>
      </c>
      <c r="AJ391" s="30" t="s">
        <v>1006</v>
      </c>
      <c r="AK391" s="30" t="n">
        <v>0</v>
      </c>
      <c r="AL391" s="30" t="s">
        <v>1006</v>
      </c>
      <c r="AM391" s="30" t="n">
        <v>0</v>
      </c>
      <c r="AN391" s="30" t="s">
        <v>1006</v>
      </c>
      <c r="AO391" s="30" t="n">
        <v>75.65</v>
      </c>
      <c r="AP391" s="30" t="s">
        <v>1006</v>
      </c>
      <c r="AQ391" s="30" t="n">
        <v>75.65</v>
      </c>
      <c r="AR391" s="30" t="s">
        <v>1006</v>
      </c>
      <c r="AS391" s="30" t="n">
        <v>47.11</v>
      </c>
      <c r="AT391" s="30" t="s">
        <v>1005</v>
      </c>
      <c r="AU391" s="30" t="n">
        <v>527.44</v>
      </c>
      <c r="AV391" s="30" t="n">
        <v>0.269</v>
      </c>
      <c r="AW391" s="30" t="s">
        <v>1013</v>
      </c>
      <c r="AX391" s="30" t="s">
        <v>1008</v>
      </c>
      <c r="AY391" s="30" t="n">
        <v>1</v>
      </c>
      <c r="AZ391" s="30"/>
    </row>
    <row collapsed="false" customFormat="true" customHeight="true" hidden="false" ht="33" outlineLevel="0" r="392" s="73">
      <c r="A392" s="30" t="n">
        <v>421</v>
      </c>
      <c r="B392" s="30" t="s">
        <v>601</v>
      </c>
      <c r="C392" s="30" t="s">
        <v>1009</v>
      </c>
      <c r="D392" s="30" t="s">
        <v>999</v>
      </c>
      <c r="E392" s="30" t="s">
        <v>1010</v>
      </c>
      <c r="F392" s="30" t="s">
        <v>1011</v>
      </c>
      <c r="G392" s="30" t="s">
        <v>1002</v>
      </c>
      <c r="H392" s="30" t="s">
        <v>1003</v>
      </c>
      <c r="I392" s="30" t="n">
        <v>1</v>
      </c>
      <c r="J392" s="30"/>
      <c r="K392" s="30" t="n">
        <v>57</v>
      </c>
      <c r="L392" s="30"/>
      <c r="M392" s="30" t="s">
        <v>1012</v>
      </c>
      <c r="N392" s="30" t="s">
        <v>54</v>
      </c>
      <c r="O392" s="30"/>
      <c r="P392" s="30"/>
      <c r="Q392" s="30"/>
      <c r="R392" s="30"/>
      <c r="S392" s="30"/>
      <c r="T392" s="30"/>
      <c r="U392" s="30" t="n">
        <v>700.8</v>
      </c>
      <c r="V392" s="30" t="n">
        <v>748.48</v>
      </c>
      <c r="W392" s="30" t="n">
        <v>126</v>
      </c>
      <c r="X392" s="30" t="s">
        <v>1006</v>
      </c>
      <c r="Y392" s="30" t="n">
        <v>126</v>
      </c>
      <c r="Z392" s="30" t="s">
        <v>1006</v>
      </c>
      <c r="AA392" s="30" t="n">
        <v>126</v>
      </c>
      <c r="AB392" s="30" t="s">
        <v>1006</v>
      </c>
      <c r="AC392" s="30" t="n">
        <v>126</v>
      </c>
      <c r="AD392" s="30" t="s">
        <v>1006</v>
      </c>
      <c r="AE392" s="30" t="n">
        <v>36.58</v>
      </c>
      <c r="AF392" s="30" t="s">
        <v>1006</v>
      </c>
      <c r="AG392" s="30" t="n">
        <v>0</v>
      </c>
      <c r="AH392" s="30" t="s">
        <v>1006</v>
      </c>
      <c r="AI392" s="30" t="n">
        <v>0</v>
      </c>
      <c r="AJ392" s="30" t="s">
        <v>1006</v>
      </c>
      <c r="AK392" s="30" t="n">
        <v>0</v>
      </c>
      <c r="AL392" s="30" t="s">
        <v>1006</v>
      </c>
      <c r="AM392" s="30" t="n">
        <v>0</v>
      </c>
      <c r="AN392" s="30" t="s">
        <v>1006</v>
      </c>
      <c r="AO392" s="30" t="n">
        <v>62.79</v>
      </c>
      <c r="AP392" s="30" t="s">
        <v>1005</v>
      </c>
      <c r="AQ392" s="30" t="n">
        <v>85.82</v>
      </c>
      <c r="AR392" s="30" t="s">
        <v>1005</v>
      </c>
      <c r="AS392" s="30" t="n">
        <v>110.58</v>
      </c>
      <c r="AT392" s="30" t="s">
        <v>1005</v>
      </c>
      <c r="AU392" s="30" t="n">
        <v>799.77</v>
      </c>
      <c r="AV392" s="30" t="n">
        <v>0.445</v>
      </c>
      <c r="AW392" s="30" t="s">
        <v>1013</v>
      </c>
      <c r="AX392" s="30" t="s">
        <v>1008</v>
      </c>
      <c r="AY392" s="30" t="n">
        <v>1</v>
      </c>
      <c r="AZ392" s="30"/>
    </row>
    <row collapsed="false" customFormat="true" customHeight="true" hidden="false" ht="33" outlineLevel="0" r="393" s="73">
      <c r="A393" s="30" t="n">
        <v>422</v>
      </c>
      <c r="B393" s="30" t="s">
        <v>602</v>
      </c>
      <c r="C393" s="30" t="s">
        <v>1009</v>
      </c>
      <c r="D393" s="30" t="s">
        <v>999</v>
      </c>
      <c r="E393" s="30" t="s">
        <v>1010</v>
      </c>
      <c r="F393" s="30" t="s">
        <v>1011</v>
      </c>
      <c r="G393" s="30" t="s">
        <v>1002</v>
      </c>
      <c r="H393" s="30" t="s">
        <v>1003</v>
      </c>
      <c r="I393" s="30" t="n">
        <v>1</v>
      </c>
      <c r="J393" s="30"/>
      <c r="K393" s="30" t="n">
        <v>57</v>
      </c>
      <c r="L393" s="30"/>
      <c r="M393" s="30" t="s">
        <v>1012</v>
      </c>
      <c r="N393" s="30" t="s">
        <v>54</v>
      </c>
      <c r="O393" s="30"/>
      <c r="P393" s="30"/>
      <c r="Q393" s="30"/>
      <c r="R393" s="30"/>
      <c r="S393" s="30"/>
      <c r="T393" s="30"/>
      <c r="U393" s="30" t="n">
        <v>441.44</v>
      </c>
      <c r="V393" s="30" t="n">
        <v>468.24</v>
      </c>
      <c r="W393" s="30" t="n">
        <v>82.79</v>
      </c>
      <c r="X393" s="30" t="s">
        <v>1006</v>
      </c>
      <c r="Y393" s="30" t="n">
        <v>82.71</v>
      </c>
      <c r="Z393" s="30" t="s">
        <v>1006</v>
      </c>
      <c r="AA393" s="30" t="n">
        <v>82.71</v>
      </c>
      <c r="AB393" s="30" t="s">
        <v>1006</v>
      </c>
      <c r="AC393" s="30" t="n">
        <v>82.71</v>
      </c>
      <c r="AD393" s="30" t="s">
        <v>1006</v>
      </c>
      <c r="AE393" s="30" t="n">
        <v>24.02</v>
      </c>
      <c r="AF393" s="30" t="s">
        <v>1006</v>
      </c>
      <c r="AG393" s="30" t="n">
        <v>0</v>
      </c>
      <c r="AH393" s="30" t="s">
        <v>1006</v>
      </c>
      <c r="AI393" s="30" t="n">
        <v>0</v>
      </c>
      <c r="AJ393" s="30" t="s">
        <v>1006</v>
      </c>
      <c r="AK393" s="30" t="n">
        <v>0</v>
      </c>
      <c r="AL393" s="30" t="s">
        <v>1006</v>
      </c>
      <c r="AM393" s="30" t="n">
        <v>0</v>
      </c>
      <c r="AN393" s="30" t="s">
        <v>1006</v>
      </c>
      <c r="AO393" s="30" t="n">
        <v>79.42</v>
      </c>
      <c r="AP393" s="30" t="s">
        <v>1006</v>
      </c>
      <c r="AQ393" s="30" t="n">
        <v>79.41</v>
      </c>
      <c r="AR393" s="30" t="s">
        <v>1006</v>
      </c>
      <c r="AS393" s="30" t="n">
        <v>47.78</v>
      </c>
      <c r="AT393" s="30" t="s">
        <v>1005</v>
      </c>
      <c r="AU393" s="30" t="n">
        <v>561.55</v>
      </c>
      <c r="AV393" s="30" t="n">
        <v>0.284</v>
      </c>
      <c r="AW393" s="30" t="s">
        <v>1013</v>
      </c>
      <c r="AX393" s="30" t="s">
        <v>1008</v>
      </c>
      <c r="AY393" s="30" t="n">
        <v>1</v>
      </c>
      <c r="AZ393" s="30"/>
    </row>
    <row collapsed="false" customFormat="true" customHeight="true" hidden="false" ht="33" outlineLevel="0" r="394" s="73">
      <c r="A394" s="30" t="n">
        <v>423</v>
      </c>
      <c r="B394" s="30" t="s">
        <v>604</v>
      </c>
      <c r="C394" s="30" t="s">
        <v>1009</v>
      </c>
      <c r="D394" s="30" t="s">
        <v>999</v>
      </c>
      <c r="E394" s="30" t="s">
        <v>1010</v>
      </c>
      <c r="F394" s="30" t="s">
        <v>1011</v>
      </c>
      <c r="G394" s="30" t="s">
        <v>1002</v>
      </c>
      <c r="H394" s="30" t="s">
        <v>1003</v>
      </c>
      <c r="I394" s="30" t="n">
        <v>1</v>
      </c>
      <c r="J394" s="30"/>
      <c r="K394" s="30" t="n">
        <v>67</v>
      </c>
      <c r="L394" s="30"/>
      <c r="M394" s="30" t="s">
        <v>1004</v>
      </c>
      <c r="N394" s="30" t="s">
        <v>53</v>
      </c>
      <c r="O394" s="30"/>
      <c r="P394" s="30"/>
      <c r="Q394" s="30"/>
      <c r="R394" s="30"/>
      <c r="S394" s="30"/>
      <c r="T394" s="30"/>
      <c r="U394" s="30" t="n">
        <v>825.49</v>
      </c>
      <c r="V394" s="30" t="n">
        <v>889.48</v>
      </c>
      <c r="W394" s="30" t="n">
        <v>130.27</v>
      </c>
      <c r="X394" s="30" t="s">
        <v>1006</v>
      </c>
      <c r="Y394" s="30" t="n">
        <v>111.57</v>
      </c>
      <c r="Z394" s="30" t="s">
        <v>1006</v>
      </c>
      <c r="AA394" s="30" t="n">
        <v>114.21</v>
      </c>
      <c r="AB394" s="30" t="s">
        <v>1006</v>
      </c>
      <c r="AC394" s="30" t="n">
        <v>113.74</v>
      </c>
      <c r="AD394" s="30" t="s">
        <v>1006</v>
      </c>
      <c r="AE394" s="30" t="n">
        <v>54.51</v>
      </c>
      <c r="AF394" s="30" t="s">
        <v>1006</v>
      </c>
      <c r="AG394" s="30" t="n">
        <v>29.51</v>
      </c>
      <c r="AH394" s="30" t="s">
        <v>1006</v>
      </c>
      <c r="AI394" s="30" t="n">
        <v>35.39</v>
      </c>
      <c r="AJ394" s="30" t="s">
        <v>1006</v>
      </c>
      <c r="AK394" s="30" t="n">
        <v>30.56</v>
      </c>
      <c r="AL394" s="30" t="s">
        <v>1006</v>
      </c>
      <c r="AM394" s="30" t="n">
        <v>34.78</v>
      </c>
      <c r="AN394" s="30" t="s">
        <v>1006</v>
      </c>
      <c r="AO394" s="30" t="n">
        <v>66.47</v>
      </c>
      <c r="AP394" s="30" t="s">
        <v>1005</v>
      </c>
      <c r="AQ394" s="30" t="n">
        <v>85</v>
      </c>
      <c r="AR394" s="30" t="s">
        <v>1005</v>
      </c>
      <c r="AS394" s="30" t="n">
        <v>96.54</v>
      </c>
      <c r="AT394" s="30" t="s">
        <v>1005</v>
      </c>
      <c r="AU394" s="30" t="n">
        <v>902.55</v>
      </c>
      <c r="AV394" s="30" t="n">
        <v>0.253</v>
      </c>
      <c r="AW394" s="30" t="s">
        <v>1007</v>
      </c>
      <c r="AX394" s="30" t="s">
        <v>1008</v>
      </c>
      <c r="AY394" s="30" t="n">
        <v>1</v>
      </c>
      <c r="AZ394" s="30"/>
    </row>
    <row collapsed="false" customFormat="true" customHeight="true" hidden="false" ht="33" outlineLevel="0" r="395" s="73">
      <c r="A395" s="30" t="n">
        <v>424</v>
      </c>
      <c r="B395" s="30" t="s">
        <v>605</v>
      </c>
      <c r="C395" s="30" t="s">
        <v>1009</v>
      </c>
      <c r="D395" s="30" t="s">
        <v>999</v>
      </c>
      <c r="E395" s="30" t="s">
        <v>1010</v>
      </c>
      <c r="F395" s="30" t="s">
        <v>1011</v>
      </c>
      <c r="G395" s="30" t="s">
        <v>1002</v>
      </c>
      <c r="H395" s="30" t="s">
        <v>1003</v>
      </c>
      <c r="I395" s="30" t="n">
        <v>1</v>
      </c>
      <c r="J395" s="30"/>
      <c r="K395" s="30" t="n">
        <v>57</v>
      </c>
      <c r="L395" s="30"/>
      <c r="M395" s="30" t="s">
        <v>1004</v>
      </c>
      <c r="N395" s="30" t="s">
        <v>54</v>
      </c>
      <c r="O395" s="30"/>
      <c r="P395" s="30"/>
      <c r="Q395" s="30"/>
      <c r="R395" s="30"/>
      <c r="S395" s="30"/>
      <c r="T395" s="30"/>
      <c r="U395" s="30" t="n">
        <v>437.23</v>
      </c>
      <c r="V395" s="30" t="n">
        <v>428.01</v>
      </c>
      <c r="W395" s="30" t="n">
        <v>83.46</v>
      </c>
      <c r="X395" s="30" t="s">
        <v>1006</v>
      </c>
      <c r="Y395" s="30" t="n">
        <v>83.46</v>
      </c>
      <c r="Z395" s="30" t="s">
        <v>1006</v>
      </c>
      <c r="AA395" s="30" t="n">
        <v>83.46</v>
      </c>
      <c r="AB395" s="30" t="s">
        <v>1006</v>
      </c>
      <c r="AC395" s="30" t="n">
        <v>83.46</v>
      </c>
      <c r="AD395" s="30" t="s">
        <v>1006</v>
      </c>
      <c r="AE395" s="30" t="n">
        <v>24.23</v>
      </c>
      <c r="AF395" s="30" t="s">
        <v>1006</v>
      </c>
      <c r="AG395" s="30" t="n">
        <v>0</v>
      </c>
      <c r="AH395" s="30" t="s">
        <v>1006</v>
      </c>
      <c r="AI395" s="30" t="n">
        <v>0</v>
      </c>
      <c r="AJ395" s="30" t="s">
        <v>1006</v>
      </c>
      <c r="AK395" s="30" t="n">
        <v>0</v>
      </c>
      <c r="AL395" s="30" t="s">
        <v>1006</v>
      </c>
      <c r="AM395" s="30" t="n">
        <v>8.09</v>
      </c>
      <c r="AN395" s="30" t="s">
        <v>1006</v>
      </c>
      <c r="AO395" s="30" t="n">
        <v>80.92</v>
      </c>
      <c r="AP395" s="30" t="s">
        <v>1006</v>
      </c>
      <c r="AQ395" s="30" t="n">
        <v>39.5</v>
      </c>
      <c r="AR395" s="30" t="s">
        <v>1005</v>
      </c>
      <c r="AS395" s="30" t="n">
        <v>91.57</v>
      </c>
      <c r="AT395" s="30" t="s">
        <v>1005</v>
      </c>
      <c r="AU395" s="30" t="n">
        <v>578.15</v>
      </c>
      <c r="AV395" s="30" t="n">
        <v>0.253</v>
      </c>
      <c r="AW395" s="30" t="s">
        <v>1007</v>
      </c>
      <c r="AX395" s="30" t="s">
        <v>1008</v>
      </c>
      <c r="AY395" s="30" t="n">
        <v>1</v>
      </c>
      <c r="AZ395" s="30"/>
    </row>
    <row collapsed="false" customFormat="true" customHeight="true" hidden="false" ht="33" outlineLevel="0" r="396" s="73">
      <c r="A396" s="30" t="n">
        <v>425</v>
      </c>
      <c r="B396" s="30" t="s">
        <v>606</v>
      </c>
      <c r="C396" s="30" t="s">
        <v>1009</v>
      </c>
      <c r="D396" s="30" t="s">
        <v>999</v>
      </c>
      <c r="E396" s="30" t="s">
        <v>1010</v>
      </c>
      <c r="F396" s="30" t="s">
        <v>1011</v>
      </c>
      <c r="G396" s="30" t="s">
        <v>1002</v>
      </c>
      <c r="H396" s="30" t="s">
        <v>1003</v>
      </c>
      <c r="I396" s="30" t="n">
        <v>1</v>
      </c>
      <c r="J396" s="30"/>
      <c r="K396" s="30" t="n">
        <v>67</v>
      </c>
      <c r="L396" s="30"/>
      <c r="M396" s="30" t="s">
        <v>1004</v>
      </c>
      <c r="N396" s="30" t="s">
        <v>53</v>
      </c>
      <c r="O396" s="30"/>
      <c r="P396" s="30"/>
      <c r="Q396" s="30"/>
      <c r="R396" s="30"/>
      <c r="S396" s="30"/>
      <c r="T396" s="30"/>
      <c r="U396" s="30" t="n">
        <v>679.49</v>
      </c>
      <c r="V396" s="30" t="n">
        <v>649.48</v>
      </c>
      <c r="W396" s="30" t="n">
        <v>114.15</v>
      </c>
      <c r="X396" s="30" t="s">
        <v>1006</v>
      </c>
      <c r="Y396" s="30" t="n">
        <v>97.4</v>
      </c>
      <c r="Z396" s="30" t="s">
        <v>1006</v>
      </c>
      <c r="AA396" s="30" t="n">
        <v>98.94</v>
      </c>
      <c r="AB396" s="30" t="s">
        <v>1006</v>
      </c>
      <c r="AC396" s="30" t="n">
        <v>98.7</v>
      </c>
      <c r="AD396" s="30" t="s">
        <v>1006</v>
      </c>
      <c r="AE396" s="30" t="n">
        <v>51.97</v>
      </c>
      <c r="AF396" s="30" t="s">
        <v>1006</v>
      </c>
      <c r="AG396" s="30" t="n">
        <v>29.31</v>
      </c>
      <c r="AH396" s="30" t="s">
        <v>1006</v>
      </c>
      <c r="AI396" s="30" t="n">
        <v>24.93</v>
      </c>
      <c r="AJ396" s="30" t="s">
        <v>1006</v>
      </c>
      <c r="AK396" s="30" t="n">
        <v>26.29</v>
      </c>
      <c r="AL396" s="30" t="s">
        <v>1006</v>
      </c>
      <c r="AM396" s="30" t="n">
        <v>30.62</v>
      </c>
      <c r="AN396" s="30" t="s">
        <v>1006</v>
      </c>
      <c r="AO396" s="30" t="n">
        <v>89.15</v>
      </c>
      <c r="AP396" s="30" t="s">
        <v>1006</v>
      </c>
      <c r="AQ396" s="30" t="n">
        <v>85.38</v>
      </c>
      <c r="AR396" s="30" t="s">
        <v>1006</v>
      </c>
      <c r="AS396" s="30" t="n">
        <v>87.24</v>
      </c>
      <c r="AT396" s="30" t="s">
        <v>1006</v>
      </c>
      <c r="AU396" s="30" t="n">
        <v>834.08</v>
      </c>
      <c r="AV396" s="30" t="n">
        <v>0.215</v>
      </c>
      <c r="AW396" s="30" t="s">
        <v>1007</v>
      </c>
      <c r="AX396" s="30" t="s">
        <v>1008</v>
      </c>
      <c r="AY396" s="30" t="n">
        <v>1</v>
      </c>
      <c r="AZ396" s="30"/>
    </row>
    <row collapsed="false" customFormat="true" customHeight="true" hidden="false" ht="33" outlineLevel="0" r="397" s="73">
      <c r="A397" s="30" t="n">
        <v>426</v>
      </c>
      <c r="B397" s="30" t="s">
        <v>607</v>
      </c>
      <c r="C397" s="30" t="s">
        <v>1009</v>
      </c>
      <c r="D397" s="30" t="s">
        <v>999</v>
      </c>
      <c r="E397" s="30" t="s">
        <v>1010</v>
      </c>
      <c r="F397" s="30" t="s">
        <v>1011</v>
      </c>
      <c r="G397" s="30" t="s">
        <v>1002</v>
      </c>
      <c r="H397" s="30" t="s">
        <v>1003</v>
      </c>
      <c r="I397" s="30" t="n">
        <v>1</v>
      </c>
      <c r="J397" s="30"/>
      <c r="K397" s="30" t="n">
        <v>67</v>
      </c>
      <c r="L397" s="30"/>
      <c r="M397" s="30" t="s">
        <v>1004</v>
      </c>
      <c r="N397" s="30" t="s">
        <v>53</v>
      </c>
      <c r="O397" s="30"/>
      <c r="P397" s="30"/>
      <c r="Q397" s="30"/>
      <c r="R397" s="30"/>
      <c r="S397" s="30"/>
      <c r="T397" s="30"/>
      <c r="U397" s="30" t="n">
        <v>664.85</v>
      </c>
      <c r="V397" s="30" t="n">
        <v>687.05</v>
      </c>
      <c r="W397" s="30" t="n">
        <v>78.97</v>
      </c>
      <c r="X397" s="30" t="s">
        <v>1006</v>
      </c>
      <c r="Y397" s="30" t="n">
        <v>68.37</v>
      </c>
      <c r="Z397" s="30" t="s">
        <v>1006</v>
      </c>
      <c r="AA397" s="30" t="n">
        <v>70.63</v>
      </c>
      <c r="AB397" s="30" t="s">
        <v>1006</v>
      </c>
      <c r="AC397" s="30" t="n">
        <v>69.83</v>
      </c>
      <c r="AD397" s="30" t="s">
        <v>1006</v>
      </c>
      <c r="AE397" s="30" t="n">
        <v>36.1</v>
      </c>
      <c r="AF397" s="30" t="s">
        <v>1006</v>
      </c>
      <c r="AG397" s="30" t="n">
        <v>20.59</v>
      </c>
      <c r="AH397" s="30" t="s">
        <v>1006</v>
      </c>
      <c r="AI397" s="30" t="n">
        <v>16.04</v>
      </c>
      <c r="AJ397" s="30" t="s">
        <v>1006</v>
      </c>
      <c r="AK397" s="30" t="n">
        <v>17.93</v>
      </c>
      <c r="AL397" s="30" t="s">
        <v>1006</v>
      </c>
      <c r="AM397" s="30" t="n">
        <v>28.79</v>
      </c>
      <c r="AN397" s="30" t="s">
        <v>1006</v>
      </c>
      <c r="AO397" s="30" t="n">
        <v>64.79</v>
      </c>
      <c r="AP397" s="30" t="s">
        <v>1006</v>
      </c>
      <c r="AQ397" s="30" t="n">
        <v>45.23</v>
      </c>
      <c r="AR397" s="30" t="s">
        <v>1005</v>
      </c>
      <c r="AS397" s="30" t="n">
        <v>77.62</v>
      </c>
      <c r="AT397" s="30" t="s">
        <v>1005</v>
      </c>
      <c r="AU397" s="30" t="n">
        <v>594.89</v>
      </c>
      <c r="AV397" s="30" t="n">
        <v>0.253</v>
      </c>
      <c r="AW397" s="30" t="s">
        <v>1007</v>
      </c>
      <c r="AX397" s="30" t="s">
        <v>1008</v>
      </c>
      <c r="AY397" s="30" t="n">
        <v>1</v>
      </c>
      <c r="AZ397" s="30"/>
    </row>
    <row collapsed="false" customFormat="true" customHeight="true" hidden="false" ht="33" outlineLevel="0" r="398" s="73">
      <c r="A398" s="30" t="n">
        <v>427</v>
      </c>
      <c r="B398" s="30" t="s">
        <v>608</v>
      </c>
      <c r="C398" s="30" t="s">
        <v>1009</v>
      </c>
      <c r="D398" s="30" t="s">
        <v>999</v>
      </c>
      <c r="E398" s="30" t="s">
        <v>1010</v>
      </c>
      <c r="F398" s="30" t="s">
        <v>1011</v>
      </c>
      <c r="G398" s="30" t="s">
        <v>1002</v>
      </c>
      <c r="H398" s="30" t="s">
        <v>1003</v>
      </c>
      <c r="I398" s="30" t="n">
        <v>1</v>
      </c>
      <c r="J398" s="30"/>
      <c r="K398" s="30" t="n">
        <v>67</v>
      </c>
      <c r="L398" s="30"/>
      <c r="M398" s="30" t="s">
        <v>1004</v>
      </c>
      <c r="N398" s="30" t="s">
        <v>53</v>
      </c>
      <c r="O398" s="30"/>
      <c r="P398" s="30"/>
      <c r="Q398" s="30"/>
      <c r="R398" s="30"/>
      <c r="S398" s="30"/>
      <c r="T398" s="30"/>
      <c r="U398" s="30" t="n">
        <v>583.84</v>
      </c>
      <c r="V398" s="30" t="n">
        <v>594.52</v>
      </c>
      <c r="W398" s="30" t="n">
        <v>78.21</v>
      </c>
      <c r="X398" s="30" t="s">
        <v>1006</v>
      </c>
      <c r="Y398" s="30" t="n">
        <v>69.97</v>
      </c>
      <c r="Z398" s="30" t="s">
        <v>1006</v>
      </c>
      <c r="AA398" s="30" t="n">
        <v>72.69</v>
      </c>
      <c r="AB398" s="30" t="s">
        <v>1006</v>
      </c>
      <c r="AC398" s="30" t="n">
        <v>67.16</v>
      </c>
      <c r="AD398" s="30" t="s">
        <v>1006</v>
      </c>
      <c r="AE398" s="30" t="n">
        <v>34.22</v>
      </c>
      <c r="AF398" s="30" t="s">
        <v>1006</v>
      </c>
      <c r="AG398" s="30" t="n">
        <v>18.61</v>
      </c>
      <c r="AH398" s="30" t="s">
        <v>1006</v>
      </c>
      <c r="AI398" s="30" t="n">
        <v>14.49</v>
      </c>
      <c r="AJ398" s="30" t="s">
        <v>1006</v>
      </c>
      <c r="AK398" s="30" t="n">
        <v>13.9</v>
      </c>
      <c r="AL398" s="30" t="s">
        <v>1006</v>
      </c>
      <c r="AM398" s="30" t="n">
        <v>25.19</v>
      </c>
      <c r="AN398" s="30" t="s">
        <v>1006</v>
      </c>
      <c r="AO398" s="30" t="n">
        <v>60.66</v>
      </c>
      <c r="AP398" s="30" t="s">
        <v>1006</v>
      </c>
      <c r="AQ398" s="30" t="n">
        <v>41.3</v>
      </c>
      <c r="AR398" s="30" t="s">
        <v>1005</v>
      </c>
      <c r="AS398" s="30" t="n">
        <v>76.06</v>
      </c>
      <c r="AT398" s="30" t="s">
        <v>1005</v>
      </c>
      <c r="AU398" s="30" t="n">
        <v>572.46</v>
      </c>
      <c r="AV398" s="30" t="n">
        <v>0.21</v>
      </c>
      <c r="AW398" s="30" t="s">
        <v>1007</v>
      </c>
      <c r="AX398" s="30" t="s">
        <v>1008</v>
      </c>
      <c r="AY398" s="30" t="n">
        <v>1</v>
      </c>
      <c r="AZ398" s="30"/>
    </row>
    <row collapsed="false" customFormat="true" customHeight="true" hidden="false" ht="33" outlineLevel="0" r="399" s="73">
      <c r="A399" s="30" t="n">
        <v>428</v>
      </c>
      <c r="B399" s="30" t="s">
        <v>609</v>
      </c>
      <c r="C399" s="30" t="s">
        <v>1009</v>
      </c>
      <c r="D399" s="30" t="s">
        <v>999</v>
      </c>
      <c r="E399" s="30" t="s">
        <v>1010</v>
      </c>
      <c r="F399" s="30" t="s">
        <v>1011</v>
      </c>
      <c r="G399" s="30" t="s">
        <v>1002</v>
      </c>
      <c r="H399" s="30" t="s">
        <v>1003</v>
      </c>
      <c r="I399" s="30" t="n">
        <v>1</v>
      </c>
      <c r="J399" s="30"/>
      <c r="K399" s="30" t="n">
        <v>67</v>
      </c>
      <c r="L399" s="30"/>
      <c r="M399" s="30" t="s">
        <v>1004</v>
      </c>
      <c r="N399" s="30" t="s">
        <v>53</v>
      </c>
      <c r="O399" s="30"/>
      <c r="P399" s="30"/>
      <c r="Q399" s="30"/>
      <c r="R399" s="30"/>
      <c r="S399" s="30"/>
      <c r="T399" s="30"/>
      <c r="U399" s="30" t="n">
        <v>762.4</v>
      </c>
      <c r="V399" s="30" t="n">
        <v>759.047</v>
      </c>
      <c r="W399" s="30" t="n">
        <v>119.09</v>
      </c>
      <c r="X399" s="30" t="s">
        <v>1006</v>
      </c>
      <c r="Y399" s="30" t="n">
        <v>109.01</v>
      </c>
      <c r="Z399" s="30" t="s">
        <v>1006</v>
      </c>
      <c r="AA399" s="30" t="n">
        <v>109.86</v>
      </c>
      <c r="AB399" s="30" t="s">
        <v>1006</v>
      </c>
      <c r="AC399" s="30" t="n">
        <v>106.99</v>
      </c>
      <c r="AD399" s="30" t="s">
        <v>1006</v>
      </c>
      <c r="AE399" s="30" t="n">
        <v>53.42</v>
      </c>
      <c r="AF399" s="30" t="s">
        <v>1006</v>
      </c>
      <c r="AG399" s="30" t="n">
        <v>27.47</v>
      </c>
      <c r="AH399" s="30" t="s">
        <v>1006</v>
      </c>
      <c r="AI399" s="30" t="n">
        <v>35.61</v>
      </c>
      <c r="AJ399" s="30" t="s">
        <v>1006</v>
      </c>
      <c r="AK399" s="30" t="n">
        <v>22.15</v>
      </c>
      <c r="AL399" s="30" t="s">
        <v>1006</v>
      </c>
      <c r="AM399" s="30" t="n">
        <v>30.22</v>
      </c>
      <c r="AN399" s="30" t="s">
        <v>1006</v>
      </c>
      <c r="AO399" s="30" t="n">
        <v>95.89</v>
      </c>
      <c r="AP399" s="30" t="s">
        <v>1006</v>
      </c>
      <c r="AQ399" s="30" t="n">
        <v>96.28</v>
      </c>
      <c r="AR399" s="30" t="s">
        <v>1006</v>
      </c>
      <c r="AS399" s="30" t="n">
        <v>89.53</v>
      </c>
      <c r="AT399" s="30" t="s">
        <v>1005</v>
      </c>
      <c r="AU399" s="30" t="n">
        <v>895.52</v>
      </c>
      <c r="AV399" s="30" t="n">
        <v>0.287</v>
      </c>
      <c r="AW399" s="30" t="s">
        <v>1007</v>
      </c>
      <c r="AX399" s="30" t="s">
        <v>1008</v>
      </c>
      <c r="AY399" s="30" t="n">
        <v>1</v>
      </c>
      <c r="AZ399" s="30"/>
    </row>
    <row collapsed="false" customFormat="true" customHeight="true" hidden="false" ht="33" outlineLevel="0" r="400" s="73">
      <c r="A400" s="30" t="n">
        <v>429</v>
      </c>
      <c r="B400" s="30" t="s">
        <v>610</v>
      </c>
      <c r="C400" s="30" t="s">
        <v>1009</v>
      </c>
      <c r="D400" s="30" t="s">
        <v>999</v>
      </c>
      <c r="E400" s="30" t="s">
        <v>1010</v>
      </c>
      <c r="F400" s="30" t="s">
        <v>1011</v>
      </c>
      <c r="G400" s="30" t="s">
        <v>1002</v>
      </c>
      <c r="H400" s="30" t="s">
        <v>1003</v>
      </c>
      <c r="I400" s="30" t="n">
        <v>1</v>
      </c>
      <c r="J400" s="30"/>
      <c r="K400" s="30" t="n">
        <v>67</v>
      </c>
      <c r="L400" s="30"/>
      <c r="M400" s="30" t="s">
        <v>1004</v>
      </c>
      <c r="N400" s="30" t="s">
        <v>53</v>
      </c>
      <c r="O400" s="30"/>
      <c r="P400" s="30"/>
      <c r="Q400" s="30"/>
      <c r="R400" s="30"/>
      <c r="S400" s="30"/>
      <c r="T400" s="30"/>
      <c r="U400" s="30" t="n">
        <v>947.95</v>
      </c>
      <c r="V400" s="30" t="n">
        <v>950.47</v>
      </c>
      <c r="W400" s="30" t="n">
        <v>181.92</v>
      </c>
      <c r="X400" s="30" t="s">
        <v>1006</v>
      </c>
      <c r="Y400" s="30" t="n">
        <v>163.83</v>
      </c>
      <c r="Z400" s="30" t="s">
        <v>1006</v>
      </c>
      <c r="AA400" s="30" t="n">
        <v>167.3</v>
      </c>
      <c r="AB400" s="30" t="s">
        <v>1006</v>
      </c>
      <c r="AC400" s="30" t="n">
        <v>163.57</v>
      </c>
      <c r="AD400" s="30" t="s">
        <v>1006</v>
      </c>
      <c r="AE400" s="30" t="n">
        <v>77.27</v>
      </c>
      <c r="AF400" s="30" t="s">
        <v>1006</v>
      </c>
      <c r="AG400" s="30" t="n">
        <v>37.21</v>
      </c>
      <c r="AH400" s="30" t="s">
        <v>1006</v>
      </c>
      <c r="AI400" s="30" t="n">
        <v>29.73</v>
      </c>
      <c r="AJ400" s="30" t="s">
        <v>1006</v>
      </c>
      <c r="AK400" s="30" t="n">
        <v>32.62</v>
      </c>
      <c r="AL400" s="30" t="s">
        <v>1006</v>
      </c>
      <c r="AM400" s="30" t="n">
        <v>45.47</v>
      </c>
      <c r="AN400" s="30" t="s">
        <v>1006</v>
      </c>
      <c r="AO400" s="30" t="n">
        <v>148.69</v>
      </c>
      <c r="AP400" s="30" t="s">
        <v>1006</v>
      </c>
      <c r="AQ400" s="30" t="n">
        <v>85.44</v>
      </c>
      <c r="AR400" s="30" t="s">
        <v>1005</v>
      </c>
      <c r="AS400" s="30" t="n">
        <v>145.1</v>
      </c>
      <c r="AT400" s="30" t="s">
        <v>1005</v>
      </c>
      <c r="AU400" s="30" t="n">
        <v>1278.15</v>
      </c>
      <c r="AV400" s="30" t="n">
        <v>0.277</v>
      </c>
      <c r="AW400" s="30" t="s">
        <v>1007</v>
      </c>
      <c r="AX400" s="30" t="s">
        <v>1008</v>
      </c>
      <c r="AY400" s="30" t="n">
        <v>1</v>
      </c>
      <c r="AZ400" s="30"/>
    </row>
    <row collapsed="false" customFormat="true" customHeight="true" hidden="false" ht="33" outlineLevel="0" r="401" s="73">
      <c r="A401" s="30" t="n">
        <v>430</v>
      </c>
      <c r="B401" s="30" t="s">
        <v>611</v>
      </c>
      <c r="C401" s="30" t="s">
        <v>1009</v>
      </c>
      <c r="D401" s="30" t="s">
        <v>999</v>
      </c>
      <c r="E401" s="30" t="s">
        <v>1010</v>
      </c>
      <c r="F401" s="30" t="s">
        <v>1011</v>
      </c>
      <c r="G401" s="30" t="s">
        <v>1002</v>
      </c>
      <c r="H401" s="30" t="s">
        <v>1003</v>
      </c>
      <c r="I401" s="30" t="n">
        <v>1</v>
      </c>
      <c r="J401" s="30"/>
      <c r="K401" s="30" t="n">
        <v>67</v>
      </c>
      <c r="L401" s="30"/>
      <c r="M401" s="30" t="s">
        <v>1004</v>
      </c>
      <c r="N401" s="30" t="s">
        <v>53</v>
      </c>
      <c r="O401" s="30"/>
      <c r="P401" s="30"/>
      <c r="Q401" s="30"/>
      <c r="R401" s="30"/>
      <c r="S401" s="30"/>
      <c r="T401" s="30"/>
      <c r="U401" s="30" t="n">
        <v>1047.28</v>
      </c>
      <c r="V401" s="30" t="n">
        <v>1087.12</v>
      </c>
      <c r="W401" s="30" t="n">
        <v>198.52</v>
      </c>
      <c r="X401" s="30" t="s">
        <v>1006</v>
      </c>
      <c r="Y401" s="30" t="n">
        <v>170.52</v>
      </c>
      <c r="Z401" s="30" t="s">
        <v>1006</v>
      </c>
      <c r="AA401" s="30" t="n">
        <v>170.35</v>
      </c>
      <c r="AB401" s="30" t="s">
        <v>1006</v>
      </c>
      <c r="AC401" s="30" t="n">
        <v>170.88</v>
      </c>
      <c r="AD401" s="30" t="s">
        <v>1006</v>
      </c>
      <c r="AE401" s="30" t="n">
        <v>81.41</v>
      </c>
      <c r="AF401" s="30" t="s">
        <v>1006</v>
      </c>
      <c r="AG401" s="30" t="n">
        <v>40.14</v>
      </c>
      <c r="AH401" s="30" t="s">
        <v>1006</v>
      </c>
      <c r="AI401" s="30" t="n">
        <v>34.41</v>
      </c>
      <c r="AJ401" s="30" t="s">
        <v>1006</v>
      </c>
      <c r="AK401" s="30" t="n">
        <v>33.5</v>
      </c>
      <c r="AL401" s="30" t="s">
        <v>1006</v>
      </c>
      <c r="AM401" s="30" t="n">
        <v>60.52</v>
      </c>
      <c r="AN401" s="30" t="s">
        <v>1006</v>
      </c>
      <c r="AO401" s="30" t="n">
        <v>161.67</v>
      </c>
      <c r="AP401" s="30" t="s">
        <v>1006</v>
      </c>
      <c r="AQ401" s="30" t="n">
        <v>86.1</v>
      </c>
      <c r="AR401" s="30" t="s">
        <v>1005</v>
      </c>
      <c r="AS401" s="30" t="n">
        <v>148.72</v>
      </c>
      <c r="AT401" s="30" t="s">
        <v>1005</v>
      </c>
      <c r="AU401" s="30" t="n">
        <v>1356.74</v>
      </c>
      <c r="AV401" s="30" t="n">
        <v>0.3</v>
      </c>
      <c r="AW401" s="30" t="s">
        <v>1007</v>
      </c>
      <c r="AX401" s="30" t="s">
        <v>1008</v>
      </c>
      <c r="AY401" s="30" t="n">
        <v>1</v>
      </c>
      <c r="AZ401" s="30"/>
    </row>
    <row collapsed="false" customFormat="true" customHeight="true" hidden="false" ht="33" outlineLevel="0" r="402" s="73">
      <c r="A402" s="30" t="n">
        <v>431</v>
      </c>
      <c r="B402" s="30" t="s">
        <v>612</v>
      </c>
      <c r="C402" s="30" t="s">
        <v>1009</v>
      </c>
      <c r="D402" s="30" t="s">
        <v>999</v>
      </c>
      <c r="E402" s="30" t="s">
        <v>1010</v>
      </c>
      <c r="F402" s="30" t="s">
        <v>1011</v>
      </c>
      <c r="G402" s="30" t="s">
        <v>1002</v>
      </c>
      <c r="H402" s="30" t="s">
        <v>1003</v>
      </c>
      <c r="I402" s="30" t="n">
        <v>1</v>
      </c>
      <c r="J402" s="30"/>
      <c r="K402" s="30" t="n">
        <v>67</v>
      </c>
      <c r="L402" s="30"/>
      <c r="M402" s="30" t="s">
        <v>1004</v>
      </c>
      <c r="N402" s="30" t="s">
        <v>53</v>
      </c>
      <c r="O402" s="30"/>
      <c r="P402" s="30"/>
      <c r="Q402" s="30"/>
      <c r="R402" s="30"/>
      <c r="S402" s="30"/>
      <c r="T402" s="30"/>
      <c r="U402" s="30" t="n">
        <v>738.48</v>
      </c>
      <c r="V402" s="30" t="n">
        <v>753.12</v>
      </c>
      <c r="W402" s="30" t="n">
        <v>110.54</v>
      </c>
      <c r="X402" s="30" t="s">
        <v>1006</v>
      </c>
      <c r="Y402" s="30" t="n">
        <v>97.55</v>
      </c>
      <c r="Z402" s="30" t="s">
        <v>1006</v>
      </c>
      <c r="AA402" s="30" t="n">
        <v>95.39</v>
      </c>
      <c r="AB402" s="30" t="s">
        <v>1006</v>
      </c>
      <c r="AC402" s="30" t="n">
        <v>94.96</v>
      </c>
      <c r="AD402" s="30" t="s">
        <v>1006</v>
      </c>
      <c r="AE402" s="30" t="n">
        <v>45.85</v>
      </c>
      <c r="AF402" s="30" t="s">
        <v>1006</v>
      </c>
      <c r="AG402" s="30" t="n">
        <v>23.36</v>
      </c>
      <c r="AH402" s="30" t="s">
        <v>1006</v>
      </c>
      <c r="AI402" s="30" t="n">
        <v>19.54</v>
      </c>
      <c r="AJ402" s="30" t="s">
        <v>1006</v>
      </c>
      <c r="AK402" s="30" t="n">
        <v>19.32</v>
      </c>
      <c r="AL402" s="30" t="s">
        <v>1006</v>
      </c>
      <c r="AM402" s="30" t="n">
        <v>25.76</v>
      </c>
      <c r="AN402" s="30" t="s">
        <v>1006</v>
      </c>
      <c r="AO402" s="30" t="n">
        <v>88.51</v>
      </c>
      <c r="AP402" s="30" t="s">
        <v>1006</v>
      </c>
      <c r="AQ402" s="30" t="n">
        <v>51.26</v>
      </c>
      <c r="AR402" s="30" t="s">
        <v>1005</v>
      </c>
      <c r="AS402" s="30" t="n">
        <v>93.45</v>
      </c>
      <c r="AT402" s="30" t="s">
        <v>1005</v>
      </c>
      <c r="AU402" s="30" t="n">
        <v>765.49</v>
      </c>
      <c r="AV402" s="30" t="n">
        <v>0.253</v>
      </c>
      <c r="AW402" s="30" t="s">
        <v>1007</v>
      </c>
      <c r="AX402" s="30" t="s">
        <v>1008</v>
      </c>
      <c r="AY402" s="30" t="n">
        <v>1</v>
      </c>
      <c r="AZ402" s="30"/>
    </row>
    <row collapsed="false" customFormat="true" customHeight="true" hidden="false" ht="33" outlineLevel="0" r="403" s="73">
      <c r="A403" s="30" t="n">
        <v>432</v>
      </c>
      <c r="B403" s="30" t="s">
        <v>613</v>
      </c>
      <c r="C403" s="30" t="s">
        <v>1009</v>
      </c>
      <c r="D403" s="30" t="s">
        <v>999</v>
      </c>
      <c r="E403" s="30" t="s">
        <v>1010</v>
      </c>
      <c r="F403" s="30" t="s">
        <v>1011</v>
      </c>
      <c r="G403" s="30" t="s">
        <v>1002</v>
      </c>
      <c r="H403" s="30" t="s">
        <v>1003</v>
      </c>
      <c r="I403" s="30" t="n">
        <v>2</v>
      </c>
      <c r="J403" s="30"/>
      <c r="K403" s="30" t="n">
        <v>67</v>
      </c>
      <c r="L403" s="30"/>
      <c r="M403" s="30" t="s">
        <v>1004</v>
      </c>
      <c r="N403" s="30" t="s">
        <v>53</v>
      </c>
      <c r="O403" s="30"/>
      <c r="P403" s="30"/>
      <c r="Q403" s="30"/>
      <c r="R403" s="30"/>
      <c r="S403" s="30"/>
      <c r="T403" s="30"/>
      <c r="U403" s="30" t="n">
        <v>1593.77</v>
      </c>
      <c r="V403" s="30" t="n">
        <v>1564.78</v>
      </c>
      <c r="W403" s="30" t="n">
        <v>303.95</v>
      </c>
      <c r="X403" s="30" t="s">
        <v>1006</v>
      </c>
      <c r="Y403" s="30" t="n">
        <v>269.22</v>
      </c>
      <c r="Z403" s="30" t="s">
        <v>1006</v>
      </c>
      <c r="AA403" s="30" t="n">
        <v>269.78</v>
      </c>
      <c r="AB403" s="30" t="s">
        <v>1006</v>
      </c>
      <c r="AC403" s="30" t="n">
        <v>269.19</v>
      </c>
      <c r="AD403" s="30" t="s">
        <v>1006</v>
      </c>
      <c r="AE403" s="30" t="n">
        <v>130.98</v>
      </c>
      <c r="AF403" s="30" t="s">
        <v>1006</v>
      </c>
      <c r="AG403" s="30" t="n">
        <v>61.68</v>
      </c>
      <c r="AH403" s="30" t="s">
        <v>1006</v>
      </c>
      <c r="AI403" s="30" t="n">
        <v>60.01</v>
      </c>
      <c r="AJ403" s="30" t="s">
        <v>1006</v>
      </c>
      <c r="AK403" s="30" t="n">
        <v>49.67</v>
      </c>
      <c r="AL403" s="30" t="s">
        <v>1006</v>
      </c>
      <c r="AM403" s="30" t="n">
        <v>69.97</v>
      </c>
      <c r="AN403" s="30" t="s">
        <v>1006</v>
      </c>
      <c r="AO403" s="30" t="n">
        <v>235.99</v>
      </c>
      <c r="AP403" s="30" t="s">
        <v>1006</v>
      </c>
      <c r="AQ403" s="30" t="n">
        <v>130.89</v>
      </c>
      <c r="AR403" s="30" t="s">
        <v>1005</v>
      </c>
      <c r="AS403" s="30" t="n">
        <v>201.28</v>
      </c>
      <c r="AT403" s="30" t="s">
        <v>1005</v>
      </c>
      <c r="AU403" s="30" t="n">
        <v>2052.61</v>
      </c>
      <c r="AV403" s="30" t="n">
        <v>0.5</v>
      </c>
      <c r="AW403" s="30" t="s">
        <v>1007</v>
      </c>
      <c r="AX403" s="30" t="s">
        <v>1008</v>
      </c>
      <c r="AY403" s="30" t="n">
        <v>2</v>
      </c>
      <c r="AZ403" s="30"/>
    </row>
    <row collapsed="false" customFormat="true" customHeight="true" hidden="false" ht="33" outlineLevel="0" r="404" s="73">
      <c r="A404" s="30" t="n">
        <v>433</v>
      </c>
      <c r="B404" s="30" t="s">
        <v>615</v>
      </c>
      <c r="C404" s="30" t="s">
        <v>1009</v>
      </c>
      <c r="D404" s="30" t="s">
        <v>999</v>
      </c>
      <c r="E404" s="30" t="s">
        <v>1000</v>
      </c>
      <c r="F404" s="30" t="s">
        <v>1001</v>
      </c>
      <c r="G404" s="30" t="s">
        <v>1002</v>
      </c>
      <c r="H404" s="30" t="s">
        <v>1003</v>
      </c>
      <c r="I404" s="30" t="n">
        <v>1</v>
      </c>
      <c r="J404" s="30"/>
      <c r="K404" s="30" t="n">
        <v>65</v>
      </c>
      <c r="L404" s="30" t="n">
        <v>5.5</v>
      </c>
      <c r="M404" s="30" t="s">
        <v>1004</v>
      </c>
      <c r="N404" s="30" t="s">
        <v>54</v>
      </c>
      <c r="O404" s="30"/>
      <c r="P404" s="30"/>
      <c r="Q404" s="30"/>
      <c r="R404" s="30"/>
      <c r="S404" s="30"/>
      <c r="T404" s="30"/>
      <c r="U404" s="30" t="n">
        <v>109.45</v>
      </c>
      <c r="V404" s="30" t="n">
        <v>122.34</v>
      </c>
      <c r="W404" s="30" t="n">
        <v>17.49</v>
      </c>
      <c r="X404" s="30" t="s">
        <v>1006</v>
      </c>
      <c r="Y404" s="30" t="n">
        <v>18.71</v>
      </c>
      <c r="Z404" s="30" t="s">
        <v>1006</v>
      </c>
      <c r="AA404" s="30" t="n">
        <v>17.49</v>
      </c>
      <c r="AB404" s="30" t="s">
        <v>1006</v>
      </c>
      <c r="AC404" s="30" t="n">
        <v>17.49</v>
      </c>
      <c r="AD404" s="30" t="s">
        <v>1006</v>
      </c>
      <c r="AE404" s="30" t="n">
        <v>5.08</v>
      </c>
      <c r="AF404" s="30" t="s">
        <v>1006</v>
      </c>
      <c r="AG404" s="30" t="n">
        <v>0</v>
      </c>
      <c r="AH404" s="30" t="s">
        <v>1006</v>
      </c>
      <c r="AI404" s="30" t="n">
        <v>0</v>
      </c>
      <c r="AJ404" s="30" t="s">
        <v>1006</v>
      </c>
      <c r="AK404" s="30" t="n">
        <v>0</v>
      </c>
      <c r="AL404" s="30" t="s">
        <v>1006</v>
      </c>
      <c r="AM404" s="30" t="n">
        <v>0</v>
      </c>
      <c r="AN404" s="30" t="s">
        <v>1006</v>
      </c>
      <c r="AO404" s="30" t="n">
        <v>19.04</v>
      </c>
      <c r="AP404" s="30" t="s">
        <v>1006</v>
      </c>
      <c r="AQ404" s="30" t="n">
        <v>19.04</v>
      </c>
      <c r="AR404" s="30" t="s">
        <v>1006</v>
      </c>
      <c r="AS404" s="30" t="n">
        <v>19.04</v>
      </c>
      <c r="AT404" s="30" t="s">
        <v>1006</v>
      </c>
      <c r="AU404" s="30" t="n">
        <v>133.38</v>
      </c>
      <c r="AV404" s="30" t="n">
        <v>0.04416</v>
      </c>
      <c r="AW404" s="30" t="s">
        <v>1007</v>
      </c>
      <c r="AX404" s="30" t="s">
        <v>1008</v>
      </c>
      <c r="AY404" s="30" t="n">
        <v>0</v>
      </c>
      <c r="AZ404" s="30"/>
    </row>
    <row collapsed="false" customFormat="true" customHeight="true" hidden="false" ht="33" outlineLevel="0" r="405" s="73">
      <c r="A405" s="30" t="n">
        <v>434</v>
      </c>
      <c r="B405" s="30" t="s">
        <v>617</v>
      </c>
      <c r="C405" s="30" t="s">
        <v>1009</v>
      </c>
      <c r="D405" s="30" t="s">
        <v>999</v>
      </c>
      <c r="E405" s="30" t="s">
        <v>1010</v>
      </c>
      <c r="F405" s="30" t="s">
        <v>1011</v>
      </c>
      <c r="G405" s="30" t="s">
        <v>1002</v>
      </c>
      <c r="H405" s="30" t="s">
        <v>1003</v>
      </c>
      <c r="I405" s="30" t="n">
        <v>0</v>
      </c>
      <c r="J405" s="30"/>
      <c r="K405" s="30" t="n">
        <v>45</v>
      </c>
      <c r="L405" s="30"/>
      <c r="M405" s="30" t="s">
        <v>1015</v>
      </c>
      <c r="N405" s="30" t="s">
        <v>54</v>
      </c>
      <c r="O405" s="30"/>
      <c r="P405" s="30"/>
      <c r="Q405" s="30"/>
      <c r="R405" s="30"/>
      <c r="S405" s="30"/>
      <c r="T405" s="30"/>
      <c r="U405" s="30" t="n">
        <v>95.34</v>
      </c>
      <c r="V405" s="30" t="n">
        <v>97.52</v>
      </c>
      <c r="W405" s="30" t="n">
        <v>13.56</v>
      </c>
      <c r="X405" s="30" t="s">
        <v>1006</v>
      </c>
      <c r="Y405" s="30" t="n">
        <v>13.56</v>
      </c>
      <c r="Z405" s="30" t="s">
        <v>1006</v>
      </c>
      <c r="AA405" s="30" t="n">
        <v>13.56</v>
      </c>
      <c r="AB405" s="30" t="s">
        <v>1006</v>
      </c>
      <c r="AC405" s="30" t="n">
        <v>15.56</v>
      </c>
      <c r="AD405" s="30" t="s">
        <v>1006</v>
      </c>
      <c r="AE405" s="30" t="n">
        <v>3.94</v>
      </c>
      <c r="AF405" s="30" t="s">
        <v>1006</v>
      </c>
      <c r="AG405" s="30" t="n">
        <v>0</v>
      </c>
      <c r="AH405" s="30" t="s">
        <v>1006</v>
      </c>
      <c r="AI405" s="30" t="n">
        <v>0</v>
      </c>
      <c r="AJ405" s="30" t="s">
        <v>1006</v>
      </c>
      <c r="AK405" s="30" t="n">
        <v>0</v>
      </c>
      <c r="AL405" s="30" t="s">
        <v>1006</v>
      </c>
      <c r="AM405" s="30" t="n">
        <v>0</v>
      </c>
      <c r="AN405" s="30" t="s">
        <v>1006</v>
      </c>
      <c r="AO405" s="30" t="n">
        <v>13.1</v>
      </c>
      <c r="AP405" s="30" t="s">
        <v>1006</v>
      </c>
      <c r="AQ405" s="30" t="n">
        <v>13.1</v>
      </c>
      <c r="AR405" s="30" t="s">
        <v>1006</v>
      </c>
      <c r="AS405" s="30" t="n">
        <v>13.1</v>
      </c>
      <c r="AT405" s="30" t="s">
        <v>1006</v>
      </c>
      <c r="AU405" s="30" t="n">
        <v>99.48</v>
      </c>
      <c r="AV405" s="30" t="n">
        <v>0.057</v>
      </c>
      <c r="AW405" s="30" t="s">
        <v>1016</v>
      </c>
      <c r="AX405" s="30" t="s">
        <v>1008</v>
      </c>
      <c r="AY405" s="30" t="n">
        <v>1</v>
      </c>
      <c r="AZ405" s="30"/>
    </row>
    <row collapsed="false" customFormat="true" customHeight="true" hidden="false" ht="33" outlineLevel="0" r="406" s="73">
      <c r="A406" s="30" t="n">
        <v>435</v>
      </c>
      <c r="B406" s="30" t="s">
        <v>618</v>
      </c>
      <c r="C406" s="30" t="s">
        <v>1009</v>
      </c>
      <c r="D406" s="30" t="s">
        <v>999</v>
      </c>
      <c r="E406" s="30" t="s">
        <v>1010</v>
      </c>
      <c r="F406" s="30" t="s">
        <v>1011</v>
      </c>
      <c r="G406" s="30" t="s">
        <v>1002</v>
      </c>
      <c r="H406" s="30" t="s">
        <v>1003</v>
      </c>
      <c r="I406" s="30" t="n">
        <v>0</v>
      </c>
      <c r="J406" s="30"/>
      <c r="K406" s="30" t="n">
        <v>45</v>
      </c>
      <c r="L406" s="30"/>
      <c r="M406" s="30" t="s">
        <v>1015</v>
      </c>
      <c r="N406" s="30" t="s">
        <v>54</v>
      </c>
      <c r="O406" s="30"/>
      <c r="P406" s="30"/>
      <c r="Q406" s="30"/>
      <c r="R406" s="30"/>
      <c r="S406" s="30"/>
      <c r="T406" s="30"/>
      <c r="U406" s="30" t="n">
        <v>230.82</v>
      </c>
      <c r="V406" s="30" t="n">
        <v>228.7</v>
      </c>
      <c r="W406" s="30" t="n">
        <v>25.21</v>
      </c>
      <c r="X406" s="30" t="s">
        <v>1006</v>
      </c>
      <c r="Y406" s="30" t="n">
        <v>25.21</v>
      </c>
      <c r="Z406" s="30" t="s">
        <v>1006</v>
      </c>
      <c r="AA406" s="30" t="n">
        <v>25.21</v>
      </c>
      <c r="AB406" s="30" t="s">
        <v>1006</v>
      </c>
      <c r="AC406" s="30" t="n">
        <v>25.21</v>
      </c>
      <c r="AD406" s="30" t="s">
        <v>1006</v>
      </c>
      <c r="AE406" s="30" t="n">
        <v>7.32</v>
      </c>
      <c r="AF406" s="30" t="s">
        <v>1006</v>
      </c>
      <c r="AG406" s="30" t="n">
        <v>0</v>
      </c>
      <c r="AH406" s="30" t="s">
        <v>1006</v>
      </c>
      <c r="AI406" s="30" t="n">
        <v>0</v>
      </c>
      <c r="AJ406" s="30" t="s">
        <v>1006</v>
      </c>
      <c r="AK406" s="30" t="n">
        <v>0</v>
      </c>
      <c r="AL406" s="30" t="s">
        <v>1006</v>
      </c>
      <c r="AM406" s="30" t="n">
        <v>0</v>
      </c>
      <c r="AN406" s="30" t="s">
        <v>1006</v>
      </c>
      <c r="AO406" s="30" t="n">
        <v>24.59</v>
      </c>
      <c r="AP406" s="30" t="s">
        <v>1006</v>
      </c>
      <c r="AQ406" s="30" t="n">
        <v>24.59</v>
      </c>
      <c r="AR406" s="30" t="s">
        <v>1006</v>
      </c>
      <c r="AS406" s="30" t="n">
        <v>24.59</v>
      </c>
      <c r="AT406" s="30" t="s">
        <v>1006</v>
      </c>
      <c r="AU406" s="30" t="n">
        <v>181.93</v>
      </c>
      <c r="AV406" s="30" t="n">
        <v>0.138</v>
      </c>
      <c r="AW406" s="30" t="s">
        <v>1016</v>
      </c>
      <c r="AX406" s="30" t="s">
        <v>1008</v>
      </c>
      <c r="AY406" s="30"/>
      <c r="AZ406" s="30"/>
    </row>
    <row collapsed="false" customFormat="true" customHeight="true" hidden="false" ht="33" outlineLevel="0" r="407" s="73">
      <c r="A407" s="30" t="n">
        <v>436</v>
      </c>
      <c r="B407" s="30" t="s">
        <v>620</v>
      </c>
      <c r="C407" s="30" t="s">
        <v>1009</v>
      </c>
      <c r="D407" s="30" t="s">
        <v>999</v>
      </c>
      <c r="E407" s="30" t="s">
        <v>1010</v>
      </c>
      <c r="F407" s="30" t="s">
        <v>1011</v>
      </c>
      <c r="G407" s="30" t="s">
        <v>1002</v>
      </c>
      <c r="H407" s="30" t="s">
        <v>1003</v>
      </c>
      <c r="I407" s="30" t="n">
        <v>1</v>
      </c>
      <c r="J407" s="30"/>
      <c r="K407" s="30" t="n">
        <v>57</v>
      </c>
      <c r="L407" s="30"/>
      <c r="M407" s="30" t="s">
        <v>1012</v>
      </c>
      <c r="N407" s="30" t="s">
        <v>54</v>
      </c>
      <c r="O407" s="30"/>
      <c r="P407" s="30"/>
      <c r="Q407" s="30"/>
      <c r="R407" s="30"/>
      <c r="S407" s="30"/>
      <c r="T407" s="30"/>
      <c r="U407" s="30" t="n">
        <v>201.21</v>
      </c>
      <c r="V407" s="30" t="n">
        <v>214.89</v>
      </c>
      <c r="W407" s="30" t="n">
        <v>52.95</v>
      </c>
      <c r="X407" s="30" t="s">
        <v>1005</v>
      </c>
      <c r="Y407" s="30" t="n">
        <v>28.03</v>
      </c>
      <c r="Z407" s="30" t="s">
        <v>1005</v>
      </c>
      <c r="AA407" s="30" t="n">
        <v>27.76</v>
      </c>
      <c r="AB407" s="30" t="s">
        <v>1006</v>
      </c>
      <c r="AC407" s="30" t="n">
        <v>27.76</v>
      </c>
      <c r="AD407" s="30" t="s">
        <v>1006</v>
      </c>
      <c r="AE407" s="30" t="n">
        <v>6.27</v>
      </c>
      <c r="AF407" s="30" t="s">
        <v>1005</v>
      </c>
      <c r="AG407" s="30" t="n">
        <v>0</v>
      </c>
      <c r="AH407" s="30" t="s">
        <v>1005</v>
      </c>
      <c r="AI407" s="30" t="n">
        <v>0</v>
      </c>
      <c r="AJ407" s="30" t="s">
        <v>1005</v>
      </c>
      <c r="AK407" s="30" t="n">
        <v>0</v>
      </c>
      <c r="AL407" s="30" t="s">
        <v>1005</v>
      </c>
      <c r="AM407" s="30" t="n">
        <v>0</v>
      </c>
      <c r="AN407" s="30" t="s">
        <v>1005</v>
      </c>
      <c r="AO407" s="30" t="n">
        <v>21.29</v>
      </c>
      <c r="AP407" s="30" t="s">
        <v>1005</v>
      </c>
      <c r="AQ407" s="30" t="n">
        <v>24.72</v>
      </c>
      <c r="AR407" s="30" t="s">
        <v>1005</v>
      </c>
      <c r="AS407" s="30" t="n">
        <v>23.56</v>
      </c>
      <c r="AT407" s="30" t="s">
        <v>1005</v>
      </c>
      <c r="AU407" s="30" t="n">
        <v>212.34</v>
      </c>
      <c r="AV407" s="30" t="n">
        <v>0.11845</v>
      </c>
      <c r="AW407" s="30" t="s">
        <v>1013</v>
      </c>
      <c r="AX407" s="30" t="s">
        <v>1008</v>
      </c>
      <c r="AY407" s="30" t="n">
        <v>1</v>
      </c>
      <c r="AZ407" s="30"/>
    </row>
    <row collapsed="false" customFormat="true" customHeight="true" hidden="false" ht="33" outlineLevel="0" r="408" s="73">
      <c r="A408" s="30" t="n">
        <v>437</v>
      </c>
      <c r="B408" s="30" t="s">
        <v>622</v>
      </c>
      <c r="C408" s="30" t="s">
        <v>1009</v>
      </c>
      <c r="D408" s="30" t="s">
        <v>999</v>
      </c>
      <c r="E408" s="30" t="s">
        <v>1010</v>
      </c>
      <c r="F408" s="30" t="s">
        <v>1011</v>
      </c>
      <c r="G408" s="30" t="s">
        <v>1002</v>
      </c>
      <c r="H408" s="30" t="s">
        <v>1003</v>
      </c>
      <c r="I408" s="30" t="n">
        <v>1</v>
      </c>
      <c r="J408" s="30"/>
      <c r="K408" s="30" t="n">
        <v>57</v>
      </c>
      <c r="L408" s="30"/>
      <c r="M408" s="30" t="s">
        <v>1012</v>
      </c>
      <c r="N408" s="30" t="s">
        <v>54</v>
      </c>
      <c r="O408" s="30"/>
      <c r="P408" s="30"/>
      <c r="Q408" s="30"/>
      <c r="R408" s="30"/>
      <c r="S408" s="30"/>
      <c r="T408" s="30"/>
      <c r="U408" s="30" t="n">
        <v>138.62</v>
      </c>
      <c r="V408" s="30" t="n">
        <v>192.42</v>
      </c>
      <c r="W408" s="30" t="n">
        <v>21.5</v>
      </c>
      <c r="X408" s="30" t="s">
        <v>1005</v>
      </c>
      <c r="Y408" s="30" t="n">
        <v>17.87</v>
      </c>
      <c r="Z408" s="30" t="s">
        <v>1005</v>
      </c>
      <c r="AA408" s="30" t="n">
        <v>19.78</v>
      </c>
      <c r="AB408" s="30" t="s">
        <v>1006</v>
      </c>
      <c r="AC408" s="30" t="n">
        <v>19.19</v>
      </c>
      <c r="AD408" s="30" t="s">
        <v>1006</v>
      </c>
      <c r="AE408" s="30" t="n">
        <v>5.17</v>
      </c>
      <c r="AF408" s="30" t="s">
        <v>1006</v>
      </c>
      <c r="AG408" s="30" t="n">
        <v>0</v>
      </c>
      <c r="AH408" s="30" t="s">
        <v>1006</v>
      </c>
      <c r="AI408" s="30" t="n">
        <v>0</v>
      </c>
      <c r="AJ408" s="30" t="s">
        <v>1006</v>
      </c>
      <c r="AK408" s="30" t="n">
        <v>0</v>
      </c>
      <c r="AL408" s="30" t="s">
        <v>1006</v>
      </c>
      <c r="AM408" s="30" t="n">
        <v>0</v>
      </c>
      <c r="AN408" s="30" t="s">
        <v>1006</v>
      </c>
      <c r="AO408" s="30" t="n">
        <v>12.09</v>
      </c>
      <c r="AP408" s="30" t="s">
        <v>1005</v>
      </c>
      <c r="AQ408" s="30" t="n">
        <v>12.38</v>
      </c>
      <c r="AR408" s="30" t="s">
        <v>1005</v>
      </c>
      <c r="AS408" s="30" t="n">
        <v>17.71</v>
      </c>
      <c r="AT408" s="30" t="s">
        <v>1005</v>
      </c>
      <c r="AU408" s="30" t="n">
        <v>125.69</v>
      </c>
      <c r="AV408" s="30" t="n">
        <v>0.0757</v>
      </c>
      <c r="AW408" s="30" t="s">
        <v>1013</v>
      </c>
      <c r="AX408" s="30" t="s">
        <v>1008</v>
      </c>
      <c r="AY408" s="30" t="n">
        <v>1</v>
      </c>
      <c r="AZ408" s="30"/>
    </row>
    <row collapsed="false" customFormat="true" customHeight="true" hidden="false" ht="33" outlineLevel="0" r="409" s="73">
      <c r="A409" s="30" t="n">
        <v>438</v>
      </c>
      <c r="B409" s="30" t="s">
        <v>623</v>
      </c>
      <c r="C409" s="30" t="s">
        <v>1009</v>
      </c>
      <c r="D409" s="30" t="s">
        <v>999</v>
      </c>
      <c r="E409" s="30" t="s">
        <v>1010</v>
      </c>
      <c r="F409" s="30" t="s">
        <v>1011</v>
      </c>
      <c r="G409" s="30" t="s">
        <v>1002</v>
      </c>
      <c r="H409" s="30" t="s">
        <v>1003</v>
      </c>
      <c r="I409" s="30" t="n">
        <v>0</v>
      </c>
      <c r="J409" s="30"/>
      <c r="K409" s="30" t="n">
        <v>57</v>
      </c>
      <c r="L409" s="30"/>
      <c r="M409" s="30" t="s">
        <v>1012</v>
      </c>
      <c r="N409" s="30" t="s">
        <v>54</v>
      </c>
      <c r="O409" s="30"/>
      <c r="P409" s="30"/>
      <c r="Q409" s="30"/>
      <c r="R409" s="30"/>
      <c r="S409" s="30"/>
      <c r="T409" s="30"/>
      <c r="U409" s="30" t="n">
        <v>305.59</v>
      </c>
      <c r="V409" s="30" t="n">
        <v>312.56</v>
      </c>
      <c r="W409" s="30" t="n">
        <v>54.68</v>
      </c>
      <c r="X409" s="30" t="s">
        <v>1006</v>
      </c>
      <c r="Y409" s="30" t="n">
        <v>54.68</v>
      </c>
      <c r="Z409" s="30" t="s">
        <v>1006</v>
      </c>
      <c r="AA409" s="30" t="n">
        <v>54.68</v>
      </c>
      <c r="AB409" s="30" t="s">
        <v>1006</v>
      </c>
      <c r="AC409" s="30" t="n">
        <v>54.68</v>
      </c>
      <c r="AD409" s="30" t="s">
        <v>1006</v>
      </c>
      <c r="AE409" s="30" t="n">
        <v>15.88</v>
      </c>
      <c r="AF409" s="30" t="s">
        <v>1006</v>
      </c>
      <c r="AG409" s="30" t="n">
        <v>0</v>
      </c>
      <c r="AH409" s="30" t="s">
        <v>1006</v>
      </c>
      <c r="AI409" s="30" t="n">
        <v>0</v>
      </c>
      <c r="AJ409" s="30" t="s">
        <v>1006</v>
      </c>
      <c r="AK409" s="30" t="n">
        <v>0</v>
      </c>
      <c r="AL409" s="30" t="s">
        <v>1006</v>
      </c>
      <c r="AM409" s="30" t="n">
        <v>0</v>
      </c>
      <c r="AN409" s="30" t="s">
        <v>1006</v>
      </c>
      <c r="AO409" s="30" t="n">
        <v>53.26</v>
      </c>
      <c r="AP409" s="30" t="s">
        <v>1006</v>
      </c>
      <c r="AQ409" s="30" t="n">
        <v>53.04</v>
      </c>
      <c r="AR409" s="30" t="s">
        <v>1006</v>
      </c>
      <c r="AS409" s="30" t="n">
        <v>53.04</v>
      </c>
      <c r="AT409" s="30" t="s">
        <v>1006</v>
      </c>
      <c r="AU409" s="30" t="n">
        <v>393.94</v>
      </c>
      <c r="AV409" s="30" t="n">
        <v>0.17791</v>
      </c>
      <c r="AW409" s="30" t="s">
        <v>1013</v>
      </c>
      <c r="AX409" s="30" t="s">
        <v>1008</v>
      </c>
      <c r="AY409" s="30" t="n">
        <v>1</v>
      </c>
      <c r="AZ409" s="30"/>
    </row>
    <row collapsed="false" customFormat="true" customHeight="true" hidden="false" ht="33" outlineLevel="0" r="410" s="73">
      <c r="A410" s="30" t="n">
        <v>439</v>
      </c>
      <c r="B410" s="30" t="s">
        <v>624</v>
      </c>
      <c r="C410" s="30" t="s">
        <v>1009</v>
      </c>
      <c r="D410" s="30" t="s">
        <v>999</v>
      </c>
      <c r="E410" s="30" t="s">
        <v>1010</v>
      </c>
      <c r="F410" s="30" t="s">
        <v>1011</v>
      </c>
      <c r="G410" s="30" t="s">
        <v>1002</v>
      </c>
      <c r="H410" s="30" t="s">
        <v>1003</v>
      </c>
      <c r="I410" s="30" t="n">
        <v>1</v>
      </c>
      <c r="J410" s="30"/>
      <c r="K410" s="30" t="n">
        <v>45</v>
      </c>
      <c r="L410" s="30"/>
      <c r="M410" s="30" t="s">
        <v>1012</v>
      </c>
      <c r="N410" s="30" t="s">
        <v>54</v>
      </c>
      <c r="O410" s="30"/>
      <c r="P410" s="30"/>
      <c r="Q410" s="30"/>
      <c r="R410" s="30"/>
      <c r="S410" s="30"/>
      <c r="T410" s="30"/>
      <c r="U410" s="30" t="n">
        <v>171.12</v>
      </c>
      <c r="V410" s="30" t="n">
        <v>183.95</v>
      </c>
      <c r="W410" s="30" t="n">
        <v>36.72</v>
      </c>
      <c r="X410" s="30" t="s">
        <v>1006</v>
      </c>
      <c r="Y410" s="30" t="n">
        <v>34.86</v>
      </c>
      <c r="Z410" s="30" t="s">
        <v>1006</v>
      </c>
      <c r="AA410" s="30" t="n">
        <v>34.86</v>
      </c>
      <c r="AB410" s="30" t="s">
        <v>1006</v>
      </c>
      <c r="AC410" s="30" t="n">
        <v>20.56</v>
      </c>
      <c r="AD410" s="30" t="s">
        <v>1005</v>
      </c>
      <c r="AE410" s="30" t="n">
        <v>10.84</v>
      </c>
      <c r="AF410" s="30" t="s">
        <v>1005</v>
      </c>
      <c r="AG410" s="30" t="n">
        <v>0</v>
      </c>
      <c r="AH410" s="30" t="s">
        <v>1005</v>
      </c>
      <c r="AI410" s="30" t="n">
        <v>0</v>
      </c>
      <c r="AJ410" s="30" t="s">
        <v>1005</v>
      </c>
      <c r="AK410" s="30" t="n">
        <v>0</v>
      </c>
      <c r="AL410" s="30" t="s">
        <v>1005</v>
      </c>
      <c r="AM410" s="30" t="n">
        <v>0</v>
      </c>
      <c r="AN410" s="30" t="s">
        <v>1005</v>
      </c>
      <c r="AO410" s="30" t="n">
        <v>21.4</v>
      </c>
      <c r="AP410" s="30" t="s">
        <v>1005</v>
      </c>
      <c r="AQ410" s="30" t="n">
        <v>23.25</v>
      </c>
      <c r="AR410" s="30" t="s">
        <v>1005</v>
      </c>
      <c r="AS410" s="30" t="n">
        <v>33.78</v>
      </c>
      <c r="AT410" s="30" t="s">
        <v>1005</v>
      </c>
      <c r="AU410" s="30" t="n">
        <v>216.27</v>
      </c>
      <c r="AV410" s="30" t="n">
        <v>0.107</v>
      </c>
      <c r="AW410" s="30" t="s">
        <v>1013</v>
      </c>
      <c r="AX410" s="30" t="s">
        <v>1008</v>
      </c>
      <c r="AY410" s="30" t="n">
        <v>1</v>
      </c>
      <c r="AZ410" s="30"/>
    </row>
    <row collapsed="false" customFormat="true" customHeight="true" hidden="false" ht="33" outlineLevel="0" r="411" s="73">
      <c r="A411" s="30" t="n">
        <v>440</v>
      </c>
      <c r="B411" s="30" t="s">
        <v>625</v>
      </c>
      <c r="C411" s="30" t="s">
        <v>1009</v>
      </c>
      <c r="D411" s="30" t="s">
        <v>999</v>
      </c>
      <c r="E411" s="30" t="s">
        <v>1010</v>
      </c>
      <c r="F411" s="30" t="s">
        <v>1011</v>
      </c>
      <c r="G411" s="30" t="s">
        <v>1002</v>
      </c>
      <c r="H411" s="30" t="s">
        <v>1003</v>
      </c>
      <c r="I411" s="30" t="n">
        <v>1</v>
      </c>
      <c r="J411" s="30"/>
      <c r="K411" s="30" t="n">
        <v>57</v>
      </c>
      <c r="L411" s="30"/>
      <c r="M411" s="30" t="s">
        <v>1012</v>
      </c>
      <c r="N411" s="30" t="s">
        <v>54</v>
      </c>
      <c r="O411" s="30"/>
      <c r="P411" s="30"/>
      <c r="Q411" s="30"/>
      <c r="R411" s="30"/>
      <c r="S411" s="30"/>
      <c r="T411" s="30"/>
      <c r="U411" s="30" t="n">
        <v>238.85</v>
      </c>
      <c r="V411" s="30" t="n">
        <v>226.8</v>
      </c>
      <c r="W411" s="30" t="n">
        <v>71.83</v>
      </c>
      <c r="X411" s="30" t="s">
        <v>1005</v>
      </c>
      <c r="Y411" s="30" t="n">
        <v>52.97</v>
      </c>
      <c r="Z411" s="30" t="s">
        <v>1006</v>
      </c>
      <c r="AA411" s="30" t="n">
        <v>52.97</v>
      </c>
      <c r="AB411" s="30" t="s">
        <v>1006</v>
      </c>
      <c r="AC411" s="30" t="n">
        <v>34.46</v>
      </c>
      <c r="AD411" s="30" t="s">
        <v>1005</v>
      </c>
      <c r="AE411" s="30" t="n">
        <v>15.92</v>
      </c>
      <c r="AF411" s="30" t="s">
        <v>1005</v>
      </c>
      <c r="AG411" s="30" t="n">
        <v>0</v>
      </c>
      <c r="AH411" s="30" t="s">
        <v>1005</v>
      </c>
      <c r="AI411" s="30" t="n">
        <v>0</v>
      </c>
      <c r="AJ411" s="30" t="s">
        <v>1005</v>
      </c>
      <c r="AK411" s="30" t="n">
        <v>0</v>
      </c>
      <c r="AL411" s="30" t="s">
        <v>1005</v>
      </c>
      <c r="AM411" s="30" t="n">
        <v>0</v>
      </c>
      <c r="AN411" s="30" t="s">
        <v>1005</v>
      </c>
      <c r="AO411" s="30" t="n">
        <v>37.56</v>
      </c>
      <c r="AP411" s="30" t="s">
        <v>1005</v>
      </c>
      <c r="AQ411" s="30" t="n">
        <v>32.37</v>
      </c>
      <c r="AR411" s="30" t="s">
        <v>1005</v>
      </c>
      <c r="AS411" s="30" t="n">
        <v>48.15</v>
      </c>
      <c r="AT411" s="30" t="s">
        <v>1005</v>
      </c>
      <c r="AU411" s="30" t="n">
        <v>346.23</v>
      </c>
      <c r="AV411" s="30" t="n">
        <v>0.13856</v>
      </c>
      <c r="AW411" s="30" t="s">
        <v>1013</v>
      </c>
      <c r="AX411" s="30" t="s">
        <v>1008</v>
      </c>
      <c r="AY411" s="30" t="n">
        <v>1</v>
      </c>
      <c r="AZ411" s="30"/>
    </row>
    <row collapsed="false" customFormat="true" customHeight="true" hidden="false" ht="33" outlineLevel="0" r="412" s="73">
      <c r="A412" s="30" t="n">
        <v>441</v>
      </c>
      <c r="B412" s="30" t="s">
        <v>626</v>
      </c>
      <c r="C412" s="30" t="s">
        <v>1009</v>
      </c>
      <c r="D412" s="30" t="s">
        <v>999</v>
      </c>
      <c r="E412" s="30" t="s">
        <v>1010</v>
      </c>
      <c r="F412" s="30" t="s">
        <v>1011</v>
      </c>
      <c r="G412" s="30" t="s">
        <v>1002</v>
      </c>
      <c r="H412" s="30" t="s">
        <v>1003</v>
      </c>
      <c r="I412" s="30" t="n">
        <v>1</v>
      </c>
      <c r="J412" s="30"/>
      <c r="K412" s="30" t="n">
        <v>57</v>
      </c>
      <c r="L412" s="30"/>
      <c r="M412" s="30" t="s">
        <v>1012</v>
      </c>
      <c r="N412" s="30" t="s">
        <v>54</v>
      </c>
      <c r="O412" s="30"/>
      <c r="P412" s="30"/>
      <c r="Q412" s="30"/>
      <c r="R412" s="30"/>
      <c r="S412" s="30"/>
      <c r="T412" s="30"/>
      <c r="U412" s="30" t="n">
        <v>369.5</v>
      </c>
      <c r="V412" s="30" t="n">
        <v>343.04</v>
      </c>
      <c r="W412" s="30" t="n">
        <v>92.57</v>
      </c>
      <c r="X412" s="30" t="s">
        <v>1006</v>
      </c>
      <c r="Y412" s="30" t="n">
        <v>89.68</v>
      </c>
      <c r="Z412" s="30" t="s">
        <v>1006</v>
      </c>
      <c r="AA412" s="30" t="n">
        <v>89.68</v>
      </c>
      <c r="AB412" s="30" t="s">
        <v>1006</v>
      </c>
      <c r="AC412" s="30" t="n">
        <v>46.74</v>
      </c>
      <c r="AD412" s="30" t="s">
        <v>1005</v>
      </c>
      <c r="AE412" s="30" t="n">
        <v>14.37</v>
      </c>
      <c r="AF412" s="30" t="s">
        <v>1005</v>
      </c>
      <c r="AG412" s="30" t="n">
        <v>0</v>
      </c>
      <c r="AH412" s="30" t="s">
        <v>1005</v>
      </c>
      <c r="AI412" s="30" t="n">
        <v>0</v>
      </c>
      <c r="AJ412" s="30" t="s">
        <v>1005</v>
      </c>
      <c r="AK412" s="30" t="n">
        <v>0</v>
      </c>
      <c r="AL412" s="30" t="s">
        <v>1005</v>
      </c>
      <c r="AM412" s="30" t="n">
        <v>0</v>
      </c>
      <c r="AN412" s="30" t="s">
        <v>1005</v>
      </c>
      <c r="AO412" s="30" t="n">
        <v>85.53</v>
      </c>
      <c r="AP412" s="30" t="s">
        <v>1006</v>
      </c>
      <c r="AQ412" s="30" t="n">
        <v>26.9</v>
      </c>
      <c r="AR412" s="30" t="s">
        <v>1005</v>
      </c>
      <c r="AS412" s="30" t="n">
        <v>42.66</v>
      </c>
      <c r="AT412" s="30" t="s">
        <v>1005</v>
      </c>
      <c r="AU412" s="30" t="n">
        <v>488.13</v>
      </c>
      <c r="AV412" s="30" t="n">
        <v>0.215</v>
      </c>
      <c r="AW412" s="30" t="s">
        <v>1013</v>
      </c>
      <c r="AX412" s="30" t="s">
        <v>1008</v>
      </c>
      <c r="AY412" s="30" t="n">
        <v>1</v>
      </c>
      <c r="AZ412" s="30"/>
    </row>
    <row collapsed="false" customFormat="true" customHeight="true" hidden="false" ht="33" outlineLevel="0" r="413" s="73">
      <c r="A413" s="30" t="n">
        <v>442</v>
      </c>
      <c r="B413" s="30" t="s">
        <v>627</v>
      </c>
      <c r="C413" s="30" t="s">
        <v>1009</v>
      </c>
      <c r="D413" s="30" t="s">
        <v>999</v>
      </c>
      <c r="E413" s="30" t="s">
        <v>1010</v>
      </c>
      <c r="F413" s="30" t="s">
        <v>1011</v>
      </c>
      <c r="G413" s="30" t="s">
        <v>1002</v>
      </c>
      <c r="H413" s="30" t="s">
        <v>1003</v>
      </c>
      <c r="I413" s="30" t="n">
        <v>1</v>
      </c>
      <c r="J413" s="30"/>
      <c r="K413" s="30" t="n">
        <v>67</v>
      </c>
      <c r="L413" s="30"/>
      <c r="M413" s="30" t="s">
        <v>1012</v>
      </c>
      <c r="N413" s="30" t="s">
        <v>54</v>
      </c>
      <c r="O413" s="30"/>
      <c r="P413" s="30"/>
      <c r="Q413" s="30"/>
      <c r="R413" s="30"/>
      <c r="S413" s="30"/>
      <c r="T413" s="30"/>
      <c r="U413" s="30" t="n">
        <v>365.01</v>
      </c>
      <c r="V413" s="30" t="n">
        <v>350.48</v>
      </c>
      <c r="W413" s="30" t="n">
        <v>81.52</v>
      </c>
      <c r="X413" s="30" t="s">
        <v>1006</v>
      </c>
      <c r="Y413" s="30" t="n">
        <v>79.95</v>
      </c>
      <c r="Z413" s="30" t="s">
        <v>1006</v>
      </c>
      <c r="AA413" s="30" t="n">
        <v>79.95</v>
      </c>
      <c r="AB413" s="30" t="s">
        <v>1006</v>
      </c>
      <c r="AC413" s="30" t="n">
        <v>79.95</v>
      </c>
      <c r="AD413" s="30" t="s">
        <v>1006</v>
      </c>
      <c r="AE413" s="30" t="n">
        <v>23.21</v>
      </c>
      <c r="AF413" s="30" t="s">
        <v>1006</v>
      </c>
      <c r="AG413" s="30" t="n">
        <v>0</v>
      </c>
      <c r="AH413" s="30" t="s">
        <v>1006</v>
      </c>
      <c r="AI413" s="30" t="n">
        <v>0</v>
      </c>
      <c r="AJ413" s="30" t="s">
        <v>1006</v>
      </c>
      <c r="AK413" s="30" t="n">
        <v>0</v>
      </c>
      <c r="AL413" s="30" t="s">
        <v>1006</v>
      </c>
      <c r="AM413" s="30" t="n">
        <v>0</v>
      </c>
      <c r="AN413" s="30" t="s">
        <v>1006</v>
      </c>
      <c r="AO413" s="30" t="n">
        <v>77.76</v>
      </c>
      <c r="AP413" s="30" t="s">
        <v>1006</v>
      </c>
      <c r="AQ413" s="30" t="n">
        <v>77.76</v>
      </c>
      <c r="AR413" s="30" t="s">
        <v>1006</v>
      </c>
      <c r="AS413" s="30" t="n">
        <v>73.69</v>
      </c>
      <c r="AT413" s="30" t="s">
        <v>1005</v>
      </c>
      <c r="AU413" s="30" t="n">
        <v>573.79</v>
      </c>
      <c r="AV413" s="30" t="n">
        <v>0.2102</v>
      </c>
      <c r="AW413" s="30" t="s">
        <v>1013</v>
      </c>
      <c r="AX413" s="30" t="s">
        <v>1008</v>
      </c>
      <c r="AY413" s="30" t="n">
        <v>1</v>
      </c>
      <c r="AZ413" s="30"/>
    </row>
    <row collapsed="false" customFormat="true" customHeight="true" hidden="false" ht="33" outlineLevel="0" r="414" s="73">
      <c r="A414" s="30" t="n">
        <v>446</v>
      </c>
      <c r="B414" s="30" t="s">
        <v>631</v>
      </c>
      <c r="C414" s="30" t="s">
        <v>1009</v>
      </c>
      <c r="D414" s="30" t="s">
        <v>999</v>
      </c>
      <c r="E414" s="30" t="s">
        <v>1010</v>
      </c>
      <c r="F414" s="30" t="s">
        <v>1011</v>
      </c>
      <c r="G414" s="30" t="s">
        <v>1002</v>
      </c>
      <c r="H414" s="30" t="s">
        <v>1003</v>
      </c>
      <c r="I414" s="30" t="n">
        <v>1</v>
      </c>
      <c r="J414" s="30"/>
      <c r="K414" s="30" t="n">
        <v>45</v>
      </c>
      <c r="L414" s="30"/>
      <c r="M414" s="30" t="s">
        <v>1012</v>
      </c>
      <c r="N414" s="30" t="s">
        <v>54</v>
      </c>
      <c r="O414" s="30"/>
      <c r="P414" s="30"/>
      <c r="Q414" s="30"/>
      <c r="R414" s="30"/>
      <c r="S414" s="30"/>
      <c r="T414" s="30"/>
      <c r="U414" s="30" t="n">
        <v>163.11</v>
      </c>
      <c r="V414" s="30" t="n">
        <v>173.17</v>
      </c>
      <c r="W414" s="30" t="n">
        <v>27.52</v>
      </c>
      <c r="X414" s="30" t="s">
        <v>1005</v>
      </c>
      <c r="Y414" s="30" t="n">
        <v>26.3</v>
      </c>
      <c r="Z414" s="30" t="s">
        <v>1006</v>
      </c>
      <c r="AA414" s="30" t="n">
        <v>26.3</v>
      </c>
      <c r="AB414" s="30" t="s">
        <v>1006</v>
      </c>
      <c r="AC414" s="30" t="n">
        <v>11.9</v>
      </c>
      <c r="AD414" s="30" t="s">
        <v>1005</v>
      </c>
      <c r="AE414" s="30" t="n">
        <v>2.72</v>
      </c>
      <c r="AF414" s="30" t="s">
        <v>1005</v>
      </c>
      <c r="AG414" s="30" t="n">
        <v>0</v>
      </c>
      <c r="AH414" s="30" t="s">
        <v>1005</v>
      </c>
      <c r="AI414" s="30" t="n">
        <v>0</v>
      </c>
      <c r="AJ414" s="30" t="s">
        <v>1005</v>
      </c>
      <c r="AK414" s="30" t="n">
        <v>0</v>
      </c>
      <c r="AL414" s="30" t="s">
        <v>1005</v>
      </c>
      <c r="AM414" s="30" t="n">
        <v>0</v>
      </c>
      <c r="AN414" s="30" t="s">
        <v>1005</v>
      </c>
      <c r="AO414" s="30" t="n">
        <v>12.51</v>
      </c>
      <c r="AP414" s="30" t="s">
        <v>1005</v>
      </c>
      <c r="AQ414" s="30" t="n">
        <v>12.4</v>
      </c>
      <c r="AR414" s="30" t="s">
        <v>1005</v>
      </c>
      <c r="AS414" s="30" t="n">
        <v>17.01</v>
      </c>
      <c r="AT414" s="30" t="s">
        <v>1005</v>
      </c>
      <c r="AU414" s="30" t="n">
        <v>136.66</v>
      </c>
      <c r="AV414" s="30" t="n">
        <v>0.095864</v>
      </c>
      <c r="AW414" s="30" t="s">
        <v>1013</v>
      </c>
      <c r="AX414" s="30" t="s">
        <v>1008</v>
      </c>
      <c r="AY414" s="30" t="n">
        <v>1</v>
      </c>
      <c r="AZ414" s="30"/>
    </row>
    <row collapsed="false" customFormat="true" customHeight="true" hidden="false" ht="33" outlineLevel="0" r="415" s="73">
      <c r="A415" s="30" t="n">
        <v>447</v>
      </c>
      <c r="B415" s="30" t="s">
        <v>632</v>
      </c>
      <c r="C415" s="30" t="s">
        <v>1009</v>
      </c>
      <c r="D415" s="30" t="s">
        <v>999</v>
      </c>
      <c r="E415" s="30" t="s">
        <v>1010</v>
      </c>
      <c r="F415" s="30" t="s">
        <v>1011</v>
      </c>
      <c r="G415" s="30" t="s">
        <v>1002</v>
      </c>
      <c r="H415" s="30" t="s">
        <v>1003</v>
      </c>
      <c r="I415" s="30" t="n">
        <v>0</v>
      </c>
      <c r="J415" s="30"/>
      <c r="K415" s="30" t="n">
        <v>57</v>
      </c>
      <c r="L415" s="30"/>
      <c r="M415" s="30" t="s">
        <v>1012</v>
      </c>
      <c r="N415" s="30" t="s">
        <v>54</v>
      </c>
      <c r="O415" s="30"/>
      <c r="P415" s="30"/>
      <c r="Q415" s="30"/>
      <c r="R415" s="30"/>
      <c r="S415" s="30"/>
      <c r="T415" s="30"/>
      <c r="U415" s="30" t="n">
        <v>102.6</v>
      </c>
      <c r="V415" s="30" t="n">
        <v>97.04</v>
      </c>
      <c r="W415" s="30" t="n">
        <v>15.7</v>
      </c>
      <c r="X415" s="30" t="s">
        <v>1006</v>
      </c>
      <c r="Y415" s="30" t="n">
        <v>14.98</v>
      </c>
      <c r="Z415" s="30" t="s">
        <v>1006</v>
      </c>
      <c r="AA415" s="30" t="n">
        <v>14.94</v>
      </c>
      <c r="AB415" s="30" t="s">
        <v>1006</v>
      </c>
      <c r="AC415" s="30" t="n">
        <v>14.98</v>
      </c>
      <c r="AD415" s="30" t="s">
        <v>1006</v>
      </c>
      <c r="AE415" s="30" t="n">
        <v>4.35</v>
      </c>
      <c r="AF415" s="30" t="s">
        <v>1006</v>
      </c>
      <c r="AG415" s="30" t="n">
        <v>0</v>
      </c>
      <c r="AH415" s="30" t="s">
        <v>1006</v>
      </c>
      <c r="AI415" s="30" t="n">
        <v>0</v>
      </c>
      <c r="AJ415" s="30" t="s">
        <v>1006</v>
      </c>
      <c r="AK415" s="30" t="n">
        <v>0</v>
      </c>
      <c r="AL415" s="30" t="s">
        <v>1006</v>
      </c>
      <c r="AM415" s="30" t="n">
        <v>0</v>
      </c>
      <c r="AN415" s="30" t="s">
        <v>1006</v>
      </c>
      <c r="AO415" s="30" t="n">
        <v>14.94</v>
      </c>
      <c r="AP415" s="30" t="s">
        <v>1006</v>
      </c>
      <c r="AQ415" s="30" t="n">
        <v>14.94</v>
      </c>
      <c r="AR415" s="30" t="s">
        <v>1006</v>
      </c>
      <c r="AS415" s="30" t="n">
        <v>14.94</v>
      </c>
      <c r="AT415" s="30" t="s">
        <v>1006</v>
      </c>
      <c r="AU415" s="30" t="n">
        <v>109.77</v>
      </c>
      <c r="AV415" s="30" t="n">
        <v>0.059</v>
      </c>
      <c r="AW415" s="30" t="s">
        <v>1013</v>
      </c>
      <c r="AX415" s="30" t="s">
        <v>1008</v>
      </c>
      <c r="AY415" s="30" t="n">
        <v>1</v>
      </c>
      <c r="AZ415" s="30"/>
    </row>
    <row collapsed="false" customFormat="true" customHeight="true" hidden="false" ht="33" outlineLevel="0" r="416" s="73">
      <c r="A416" s="30" t="n">
        <v>449</v>
      </c>
      <c r="B416" s="30" t="s">
        <v>634</v>
      </c>
      <c r="C416" s="30" t="s">
        <v>1009</v>
      </c>
      <c r="D416" s="30" t="s">
        <v>999</v>
      </c>
      <c r="E416" s="30" t="s">
        <v>1010</v>
      </c>
      <c r="F416" s="30" t="s">
        <v>1011</v>
      </c>
      <c r="G416" s="30" t="s">
        <v>1002</v>
      </c>
      <c r="H416" s="30" t="s">
        <v>1003</v>
      </c>
      <c r="I416" s="30" t="n">
        <v>1</v>
      </c>
      <c r="J416" s="30"/>
      <c r="K416" s="30" t="n">
        <v>57</v>
      </c>
      <c r="L416" s="30"/>
      <c r="M416" s="30" t="s">
        <v>1012</v>
      </c>
      <c r="N416" s="30" t="s">
        <v>54</v>
      </c>
      <c r="O416" s="30"/>
      <c r="P416" s="30"/>
      <c r="Q416" s="30"/>
      <c r="R416" s="30"/>
      <c r="S416" s="30"/>
      <c r="T416" s="30"/>
      <c r="U416" s="30" t="n">
        <v>229.01</v>
      </c>
      <c r="V416" s="30" t="n">
        <v>419.21</v>
      </c>
      <c r="W416" s="30" t="n">
        <v>37.14</v>
      </c>
      <c r="X416" s="30" t="s">
        <v>1006</v>
      </c>
      <c r="Y416" s="30" t="n">
        <v>37.62</v>
      </c>
      <c r="Z416" s="30" t="s">
        <v>1005</v>
      </c>
      <c r="AA416" s="30" t="n">
        <v>37.14</v>
      </c>
      <c r="AB416" s="30" t="s">
        <v>1006</v>
      </c>
      <c r="AC416" s="30" t="n">
        <v>42.25</v>
      </c>
      <c r="AD416" s="30" t="s">
        <v>1005</v>
      </c>
      <c r="AE416" s="30" t="n">
        <v>12.46</v>
      </c>
      <c r="AF416" s="30" t="s">
        <v>1005</v>
      </c>
      <c r="AG416" s="30" t="n">
        <v>0</v>
      </c>
      <c r="AH416" s="30" t="s">
        <v>1005</v>
      </c>
      <c r="AI416" s="30" t="n">
        <v>0</v>
      </c>
      <c r="AJ416" s="30" t="s">
        <v>1005</v>
      </c>
      <c r="AK416" s="30" t="n">
        <v>0</v>
      </c>
      <c r="AL416" s="30" t="s">
        <v>1005</v>
      </c>
      <c r="AM416" s="30" t="n">
        <v>0</v>
      </c>
      <c r="AN416" s="30" t="s">
        <v>1005</v>
      </c>
      <c r="AO416" s="30" t="n">
        <v>28.83</v>
      </c>
      <c r="AP416" s="30" t="s">
        <v>1005</v>
      </c>
      <c r="AQ416" s="30" t="n">
        <v>35.75</v>
      </c>
      <c r="AR416" s="30" t="s">
        <v>1005</v>
      </c>
      <c r="AS416" s="30" t="n">
        <v>42.15</v>
      </c>
      <c r="AT416" s="30" t="s">
        <v>1005</v>
      </c>
      <c r="AU416" s="30" t="n">
        <v>273.34</v>
      </c>
      <c r="AV416" s="30" t="n">
        <v>0.13275</v>
      </c>
      <c r="AW416" s="30" t="s">
        <v>1013</v>
      </c>
      <c r="AX416" s="30" t="s">
        <v>1008</v>
      </c>
      <c r="AY416" s="30" t="n">
        <v>1</v>
      </c>
      <c r="AZ416" s="30"/>
    </row>
    <row collapsed="false" customFormat="true" customHeight="true" hidden="false" ht="33" outlineLevel="0" r="417" s="73">
      <c r="A417" s="30" t="n">
        <v>452</v>
      </c>
      <c r="B417" s="30" t="s">
        <v>637</v>
      </c>
      <c r="C417" s="30" t="s">
        <v>1009</v>
      </c>
      <c r="D417" s="30" t="s">
        <v>999</v>
      </c>
      <c r="E417" s="30" t="s">
        <v>1010</v>
      </c>
      <c r="F417" s="30" t="s">
        <v>1011</v>
      </c>
      <c r="G417" s="30" t="s">
        <v>1002</v>
      </c>
      <c r="H417" s="30" t="s">
        <v>1003</v>
      </c>
      <c r="I417" s="30" t="n">
        <v>1</v>
      </c>
      <c r="J417" s="30"/>
      <c r="K417" s="30" t="n">
        <v>57</v>
      </c>
      <c r="L417" s="30"/>
      <c r="M417" s="30" t="s">
        <v>1012</v>
      </c>
      <c r="N417" s="30" t="s">
        <v>54</v>
      </c>
      <c r="O417" s="30"/>
      <c r="P417" s="30"/>
      <c r="Q417" s="30"/>
      <c r="R417" s="30"/>
      <c r="S417" s="30"/>
      <c r="T417" s="30"/>
      <c r="U417" s="30" t="n">
        <v>278.7</v>
      </c>
      <c r="V417" s="30" t="n">
        <v>423.57</v>
      </c>
      <c r="W417" s="30" t="n">
        <v>90.18</v>
      </c>
      <c r="X417" s="30" t="s">
        <v>1005</v>
      </c>
      <c r="Y417" s="30" t="n">
        <v>49.66</v>
      </c>
      <c r="Z417" s="30" t="s">
        <v>1005</v>
      </c>
      <c r="AA417" s="30" t="n">
        <v>61.77</v>
      </c>
      <c r="AB417" s="30" t="s">
        <v>1005</v>
      </c>
      <c r="AC417" s="30" t="n">
        <v>29.15</v>
      </c>
      <c r="AD417" s="30" t="s">
        <v>1005</v>
      </c>
      <c r="AE417" s="30" t="n">
        <v>15.24</v>
      </c>
      <c r="AF417" s="30" t="s">
        <v>1006</v>
      </c>
      <c r="AG417" s="30" t="n">
        <v>0</v>
      </c>
      <c r="AH417" s="30" t="s">
        <v>1006</v>
      </c>
      <c r="AI417" s="30" t="n">
        <v>0</v>
      </c>
      <c r="AJ417" s="30" t="s">
        <v>1006</v>
      </c>
      <c r="AK417" s="30" t="n">
        <v>0</v>
      </c>
      <c r="AL417" s="30" t="s">
        <v>1006</v>
      </c>
      <c r="AM417" s="30" t="n">
        <v>0</v>
      </c>
      <c r="AN417" s="30" t="s">
        <v>1006</v>
      </c>
      <c r="AO417" s="30" t="n">
        <v>25.7</v>
      </c>
      <c r="AP417" s="30" t="s">
        <v>1005</v>
      </c>
      <c r="AQ417" s="30" t="n">
        <v>27.35</v>
      </c>
      <c r="AR417" s="30" t="s">
        <v>1005</v>
      </c>
      <c r="AS417" s="30" t="n">
        <v>40.7</v>
      </c>
      <c r="AT417" s="30" t="s">
        <v>1005</v>
      </c>
      <c r="AU417" s="30" t="n">
        <v>339.75</v>
      </c>
      <c r="AV417" s="30" t="n">
        <v>0.1626</v>
      </c>
      <c r="AW417" s="30" t="s">
        <v>1013</v>
      </c>
      <c r="AX417" s="30" t="s">
        <v>1008</v>
      </c>
      <c r="AY417" s="30" t="n">
        <v>1</v>
      </c>
      <c r="AZ417" s="30"/>
    </row>
    <row collapsed="false" customFormat="true" customHeight="true" hidden="false" ht="33" outlineLevel="0" r="418" s="73">
      <c r="A418" s="30" t="n">
        <v>454</v>
      </c>
      <c r="B418" s="30" t="s">
        <v>639</v>
      </c>
      <c r="C418" s="30" t="s">
        <v>1009</v>
      </c>
      <c r="D418" s="30" t="s">
        <v>999</v>
      </c>
      <c r="E418" s="30" t="s">
        <v>1010</v>
      </c>
      <c r="F418" s="30" t="s">
        <v>1011</v>
      </c>
      <c r="G418" s="30" t="s">
        <v>1002</v>
      </c>
      <c r="H418" s="30" t="s">
        <v>1003</v>
      </c>
      <c r="I418" s="30" t="n">
        <v>1</v>
      </c>
      <c r="J418" s="30"/>
      <c r="K418" s="30" t="n">
        <v>57</v>
      </c>
      <c r="L418" s="30"/>
      <c r="M418" s="30" t="s">
        <v>1012</v>
      </c>
      <c r="N418" s="30" t="s">
        <v>54</v>
      </c>
      <c r="O418" s="30"/>
      <c r="P418" s="30"/>
      <c r="Q418" s="30"/>
      <c r="R418" s="30"/>
      <c r="S418" s="30"/>
      <c r="T418" s="30"/>
      <c r="U418" s="30" t="n">
        <v>110.69</v>
      </c>
      <c r="V418" s="30" t="n">
        <v>117.23</v>
      </c>
      <c r="W418" s="30" t="n">
        <v>23.8</v>
      </c>
      <c r="X418" s="30" t="s">
        <v>1005</v>
      </c>
      <c r="Y418" s="30" t="n">
        <v>27.71</v>
      </c>
      <c r="Z418" s="30" t="s">
        <v>1005</v>
      </c>
      <c r="AA418" s="30" t="n">
        <v>36.48</v>
      </c>
      <c r="AB418" s="30" t="s">
        <v>1005</v>
      </c>
      <c r="AC418" s="30" t="n">
        <v>5.47</v>
      </c>
      <c r="AD418" s="30" t="s">
        <v>1005</v>
      </c>
      <c r="AE418" s="30" t="n">
        <v>3.48</v>
      </c>
      <c r="AF418" s="30" t="s">
        <v>1005</v>
      </c>
      <c r="AG418" s="30" t="n">
        <v>0</v>
      </c>
      <c r="AH418" s="30" t="s">
        <v>1005</v>
      </c>
      <c r="AI418" s="30" t="n">
        <v>0</v>
      </c>
      <c r="AJ418" s="30" t="s">
        <v>1005</v>
      </c>
      <c r="AK418" s="30" t="n">
        <v>0</v>
      </c>
      <c r="AL418" s="30" t="s">
        <v>1005</v>
      </c>
      <c r="AM418" s="30" t="n">
        <v>0</v>
      </c>
      <c r="AN418" s="30" t="s">
        <v>1005</v>
      </c>
      <c r="AO418" s="30" t="n">
        <v>17.11</v>
      </c>
      <c r="AP418" s="30" t="s">
        <v>1006</v>
      </c>
      <c r="AQ418" s="30" t="n">
        <v>8.69</v>
      </c>
      <c r="AR418" s="30" t="s">
        <v>1005</v>
      </c>
      <c r="AS418" s="30" t="n">
        <v>14.05</v>
      </c>
      <c r="AT418" s="30" t="s">
        <v>1005</v>
      </c>
      <c r="AU418" s="30" t="n">
        <v>136.79</v>
      </c>
      <c r="AV418" s="30" t="n">
        <v>0.066</v>
      </c>
      <c r="AW418" s="30" t="s">
        <v>1013</v>
      </c>
      <c r="AX418" s="30" t="s">
        <v>1008</v>
      </c>
      <c r="AY418" s="30" t="n">
        <v>1</v>
      </c>
      <c r="AZ418" s="30"/>
    </row>
    <row collapsed="false" customFormat="true" customHeight="true" hidden="false" ht="33" outlineLevel="0" r="419" s="73">
      <c r="A419" s="30" t="n">
        <v>455</v>
      </c>
      <c r="B419" s="30" t="s">
        <v>640</v>
      </c>
      <c r="C419" s="30" t="s">
        <v>1009</v>
      </c>
      <c r="D419" s="30" t="s">
        <v>999</v>
      </c>
      <c r="E419" s="30" t="s">
        <v>1010</v>
      </c>
      <c r="F419" s="30" t="s">
        <v>1011</v>
      </c>
      <c r="G419" s="30" t="s">
        <v>1002</v>
      </c>
      <c r="H419" s="30" t="s">
        <v>1003</v>
      </c>
      <c r="I419" s="30" t="n">
        <v>0</v>
      </c>
      <c r="J419" s="30"/>
      <c r="K419" s="30" t="n">
        <v>57</v>
      </c>
      <c r="L419" s="30"/>
      <c r="M419" s="30" t="s">
        <v>1012</v>
      </c>
      <c r="N419" s="30" t="s">
        <v>54</v>
      </c>
      <c r="O419" s="30"/>
      <c r="P419" s="30"/>
      <c r="Q419" s="30"/>
      <c r="R419" s="30"/>
      <c r="S419" s="30"/>
      <c r="T419" s="30"/>
      <c r="U419" s="30" t="n">
        <v>137.23</v>
      </c>
      <c r="V419" s="30" t="n">
        <v>129.36</v>
      </c>
      <c r="W419" s="30" t="n">
        <v>25.15</v>
      </c>
      <c r="X419" s="30" t="s">
        <v>1006</v>
      </c>
      <c r="Y419" s="30" t="n">
        <v>24.97</v>
      </c>
      <c r="Z419" s="30" t="s">
        <v>1006</v>
      </c>
      <c r="AA419" s="30" t="n">
        <v>24.33</v>
      </c>
      <c r="AB419" s="30" t="s">
        <v>1006</v>
      </c>
      <c r="AC419" s="30" t="n">
        <v>24.77</v>
      </c>
      <c r="AD419" s="30" t="s">
        <v>1006</v>
      </c>
      <c r="AE419" s="30" t="n">
        <v>7.14</v>
      </c>
      <c r="AF419" s="30" t="s">
        <v>1006</v>
      </c>
      <c r="AG419" s="30" t="n">
        <v>0</v>
      </c>
      <c r="AH419" s="30" t="s">
        <v>1006</v>
      </c>
      <c r="AI419" s="30" t="n">
        <v>0</v>
      </c>
      <c r="AJ419" s="30" t="s">
        <v>1006</v>
      </c>
      <c r="AK419" s="30" t="n">
        <v>0</v>
      </c>
      <c r="AL419" s="30" t="s">
        <v>1006</v>
      </c>
      <c r="AM419" s="30" t="n">
        <v>0</v>
      </c>
      <c r="AN419" s="30" t="s">
        <v>1006</v>
      </c>
      <c r="AO419" s="30" t="n">
        <v>23.29</v>
      </c>
      <c r="AP419" s="30" t="s">
        <v>1006</v>
      </c>
      <c r="AQ419" s="30" t="n">
        <v>22.93</v>
      </c>
      <c r="AR419" s="30" t="s">
        <v>1006</v>
      </c>
      <c r="AS419" s="30" t="n">
        <v>23.5</v>
      </c>
      <c r="AT419" s="30" t="s">
        <v>1006</v>
      </c>
      <c r="AU419" s="30" t="n">
        <v>176.08</v>
      </c>
      <c r="AV419" s="30" t="n">
        <v>0.082</v>
      </c>
      <c r="AW419" s="30" t="s">
        <v>1013</v>
      </c>
      <c r="AX419" s="30" t="s">
        <v>1008</v>
      </c>
      <c r="AY419" s="30"/>
      <c r="AZ419" s="30"/>
    </row>
    <row collapsed="false" customFormat="true" customHeight="true" hidden="false" ht="33" outlineLevel="0" r="420" s="73">
      <c r="A420" s="30" t="n">
        <v>456</v>
      </c>
      <c r="B420" s="30" t="s">
        <v>642</v>
      </c>
      <c r="C420" s="30" t="s">
        <v>1009</v>
      </c>
      <c r="D420" s="30" t="s">
        <v>999</v>
      </c>
      <c r="E420" s="30" t="s">
        <v>1010</v>
      </c>
      <c r="F420" s="30" t="s">
        <v>1011</v>
      </c>
      <c r="G420" s="30" t="s">
        <v>1002</v>
      </c>
      <c r="H420" s="30" t="s">
        <v>1003</v>
      </c>
      <c r="I420" s="30" t="n">
        <v>0</v>
      </c>
      <c r="J420" s="30"/>
      <c r="K420" s="30" t="n">
        <v>57</v>
      </c>
      <c r="L420" s="30"/>
      <c r="M420" s="30" t="s">
        <v>1012</v>
      </c>
      <c r="N420" s="30" t="s">
        <v>54</v>
      </c>
      <c r="O420" s="30"/>
      <c r="P420" s="30"/>
      <c r="Q420" s="30"/>
      <c r="R420" s="30"/>
      <c r="S420" s="30"/>
      <c r="T420" s="30"/>
      <c r="U420" s="30" t="n">
        <v>87.26</v>
      </c>
      <c r="V420" s="30" t="n">
        <v>74.32</v>
      </c>
      <c r="W420" s="30" t="n">
        <v>12.43</v>
      </c>
      <c r="X420" s="30" t="s">
        <v>1006</v>
      </c>
      <c r="Y420" s="30" t="n">
        <v>11.55</v>
      </c>
      <c r="Z420" s="30" t="s">
        <v>1006</v>
      </c>
      <c r="AA420" s="30" t="n">
        <v>11.55</v>
      </c>
      <c r="AB420" s="30" t="s">
        <v>1006</v>
      </c>
      <c r="AC420" s="30" t="n">
        <v>11.55</v>
      </c>
      <c r="AD420" s="30" t="s">
        <v>1006</v>
      </c>
      <c r="AE420" s="30" t="n">
        <v>3.35</v>
      </c>
      <c r="AF420" s="30" t="s">
        <v>1006</v>
      </c>
      <c r="AG420" s="30" t="n">
        <v>0</v>
      </c>
      <c r="AH420" s="30" t="s">
        <v>1006</v>
      </c>
      <c r="AI420" s="30" t="n">
        <v>0</v>
      </c>
      <c r="AJ420" s="30" t="s">
        <v>1006</v>
      </c>
      <c r="AK420" s="30" t="n">
        <v>0</v>
      </c>
      <c r="AL420" s="30" t="s">
        <v>1006</v>
      </c>
      <c r="AM420" s="30" t="n">
        <v>0</v>
      </c>
      <c r="AN420" s="30" t="s">
        <v>1006</v>
      </c>
      <c r="AO420" s="30" t="n">
        <v>11.67</v>
      </c>
      <c r="AP420" s="30" t="s">
        <v>1006</v>
      </c>
      <c r="AQ420" s="30" t="n">
        <v>11.67</v>
      </c>
      <c r="AR420" s="30" t="s">
        <v>1006</v>
      </c>
      <c r="AS420" s="30" t="n">
        <v>11.67</v>
      </c>
      <c r="AT420" s="30" t="s">
        <v>1006</v>
      </c>
      <c r="AU420" s="30" t="n">
        <v>85.44</v>
      </c>
      <c r="AV420" s="30" t="n">
        <v>0.0528</v>
      </c>
      <c r="AW420" s="30" t="s">
        <v>1013</v>
      </c>
      <c r="AX420" s="30" t="s">
        <v>1008</v>
      </c>
      <c r="AY420" s="30" t="n">
        <v>1</v>
      </c>
      <c r="AZ420" s="30"/>
    </row>
    <row collapsed="false" customFormat="true" customHeight="true" hidden="false" ht="33" outlineLevel="0" r="421" s="73">
      <c r="A421" s="30" t="n">
        <v>458</v>
      </c>
      <c r="B421" s="30" t="s">
        <v>644</v>
      </c>
      <c r="C421" s="30" t="s">
        <v>1009</v>
      </c>
      <c r="D421" s="30" t="s">
        <v>999</v>
      </c>
      <c r="E421" s="30" t="s">
        <v>1010</v>
      </c>
      <c r="F421" s="30" t="s">
        <v>1011</v>
      </c>
      <c r="G421" s="30" t="s">
        <v>1002</v>
      </c>
      <c r="H421" s="30" t="s">
        <v>1003</v>
      </c>
      <c r="I421" s="30" t="n">
        <v>1</v>
      </c>
      <c r="J421" s="30"/>
      <c r="K421" s="30" t="n">
        <v>76</v>
      </c>
      <c r="L421" s="30"/>
      <c r="M421" s="30" t="s">
        <v>1012</v>
      </c>
      <c r="N421" s="30" t="s">
        <v>54</v>
      </c>
      <c r="O421" s="30"/>
      <c r="P421" s="30"/>
      <c r="Q421" s="30"/>
      <c r="R421" s="30"/>
      <c r="S421" s="30"/>
      <c r="T421" s="30"/>
      <c r="U421" s="30" t="n">
        <v>380.69</v>
      </c>
      <c r="V421" s="30" t="n">
        <v>497.78</v>
      </c>
      <c r="W421" s="30" t="n">
        <v>84</v>
      </c>
      <c r="X421" s="30" t="s">
        <v>1005</v>
      </c>
      <c r="Y421" s="30" t="n">
        <v>59.92</v>
      </c>
      <c r="Z421" s="30" t="s">
        <v>1006</v>
      </c>
      <c r="AA421" s="30" t="n">
        <v>59.92</v>
      </c>
      <c r="AB421" s="30" t="s">
        <v>1006</v>
      </c>
      <c r="AC421" s="30" t="n">
        <v>59.92</v>
      </c>
      <c r="AD421" s="30" t="s">
        <v>1006</v>
      </c>
      <c r="AE421" s="30" t="n">
        <v>17.4</v>
      </c>
      <c r="AF421" s="30" t="s">
        <v>1006</v>
      </c>
      <c r="AG421" s="30" t="n">
        <v>0</v>
      </c>
      <c r="AH421" s="30" t="s">
        <v>1006</v>
      </c>
      <c r="AI421" s="30" t="n">
        <v>0</v>
      </c>
      <c r="AJ421" s="30" t="s">
        <v>1006</v>
      </c>
      <c r="AK421" s="30" t="n">
        <v>0</v>
      </c>
      <c r="AL421" s="30" t="s">
        <v>1006</v>
      </c>
      <c r="AM421" s="30" t="n">
        <v>0</v>
      </c>
      <c r="AN421" s="30" t="s">
        <v>1006</v>
      </c>
      <c r="AO421" s="30" t="n">
        <v>37.14</v>
      </c>
      <c r="AP421" s="30" t="s">
        <v>1005</v>
      </c>
      <c r="AQ421" s="30" t="n">
        <v>34.23</v>
      </c>
      <c r="AR421" s="30" t="s">
        <v>1005</v>
      </c>
      <c r="AS421" s="30" t="n">
        <v>57.59</v>
      </c>
      <c r="AT421" s="30" t="s">
        <v>1005</v>
      </c>
      <c r="AU421" s="30" t="n">
        <v>410.12</v>
      </c>
      <c r="AV421" s="30" t="n">
        <v>0.227</v>
      </c>
      <c r="AW421" s="30" t="s">
        <v>1013</v>
      </c>
      <c r="AX421" s="30" t="s">
        <v>1008</v>
      </c>
      <c r="AY421" s="30" t="n">
        <v>1</v>
      </c>
      <c r="AZ421" s="30"/>
    </row>
    <row collapsed="false" customFormat="true" customHeight="true" hidden="false" ht="33" outlineLevel="0" r="422" s="73">
      <c r="A422" s="30" t="n">
        <v>459</v>
      </c>
      <c r="B422" s="30" t="s">
        <v>645</v>
      </c>
      <c r="C422" s="30" t="s">
        <v>1009</v>
      </c>
      <c r="D422" s="30" t="s">
        <v>999</v>
      </c>
      <c r="E422" s="30" t="s">
        <v>1010</v>
      </c>
      <c r="F422" s="30" t="s">
        <v>1011</v>
      </c>
      <c r="G422" s="30" t="s">
        <v>1002</v>
      </c>
      <c r="H422" s="30" t="s">
        <v>1003</v>
      </c>
      <c r="I422" s="30" t="n">
        <v>0</v>
      </c>
      <c r="J422" s="30"/>
      <c r="K422" s="30" t="n">
        <v>76</v>
      </c>
      <c r="L422" s="30"/>
      <c r="M422" s="30" t="s">
        <v>1012</v>
      </c>
      <c r="N422" s="30" t="s">
        <v>54</v>
      </c>
      <c r="O422" s="30"/>
      <c r="P422" s="30"/>
      <c r="Q422" s="30"/>
      <c r="R422" s="30"/>
      <c r="S422" s="30"/>
      <c r="T422" s="30"/>
      <c r="U422" s="30" t="n">
        <v>193.44</v>
      </c>
      <c r="V422" s="30" t="n">
        <v>181.12</v>
      </c>
      <c r="W422" s="30" t="n">
        <v>32.48</v>
      </c>
      <c r="X422" s="30" t="s">
        <v>1006</v>
      </c>
      <c r="Y422" s="30" t="n">
        <v>32.48</v>
      </c>
      <c r="Z422" s="30" t="s">
        <v>1006</v>
      </c>
      <c r="AA422" s="30" t="n">
        <v>32.48</v>
      </c>
      <c r="AB422" s="30" t="s">
        <v>1006</v>
      </c>
      <c r="AC422" s="30" t="n">
        <v>32.48</v>
      </c>
      <c r="AD422" s="30" t="s">
        <v>1006</v>
      </c>
      <c r="AE422" s="30" t="n">
        <v>9.43</v>
      </c>
      <c r="AF422" s="30" t="s">
        <v>1006</v>
      </c>
      <c r="AG422" s="30" t="n">
        <v>0</v>
      </c>
      <c r="AH422" s="30" t="s">
        <v>1006</v>
      </c>
      <c r="AI422" s="30" t="n">
        <v>0</v>
      </c>
      <c r="AJ422" s="30" t="s">
        <v>1006</v>
      </c>
      <c r="AK422" s="30" t="n">
        <v>0</v>
      </c>
      <c r="AL422" s="30" t="s">
        <v>1006</v>
      </c>
      <c r="AM422" s="30" t="n">
        <v>0</v>
      </c>
      <c r="AN422" s="30" t="s">
        <v>1006</v>
      </c>
      <c r="AO422" s="30" t="n">
        <v>30.08</v>
      </c>
      <c r="AP422" s="30" t="s">
        <v>1006</v>
      </c>
      <c r="AQ422" s="30" t="n">
        <v>30.08</v>
      </c>
      <c r="AR422" s="30" t="s">
        <v>1006</v>
      </c>
      <c r="AS422" s="30" t="n">
        <v>30.08</v>
      </c>
      <c r="AT422" s="30" t="s">
        <v>1006</v>
      </c>
      <c r="AU422" s="30" t="n">
        <v>229.59</v>
      </c>
      <c r="AV422" s="30" t="n">
        <v>0.115</v>
      </c>
      <c r="AW422" s="30" t="s">
        <v>1013</v>
      </c>
      <c r="AX422" s="30" t="s">
        <v>1008</v>
      </c>
      <c r="AY422" s="30" t="n">
        <v>1</v>
      </c>
      <c r="AZ422" s="30"/>
    </row>
    <row collapsed="false" customFormat="true" customHeight="true" hidden="false" ht="33" outlineLevel="0" r="423" s="73">
      <c r="A423" s="30" t="n">
        <v>460</v>
      </c>
      <c r="B423" s="30" t="s">
        <v>646</v>
      </c>
      <c r="C423" s="30" t="s">
        <v>1009</v>
      </c>
      <c r="D423" s="30" t="s">
        <v>999</v>
      </c>
      <c r="E423" s="30" t="s">
        <v>1010</v>
      </c>
      <c r="F423" s="30" t="s">
        <v>1011</v>
      </c>
      <c r="G423" s="30" t="s">
        <v>1002</v>
      </c>
      <c r="H423" s="30" t="s">
        <v>1003</v>
      </c>
      <c r="I423" s="30" t="n">
        <v>1</v>
      </c>
      <c r="J423" s="30"/>
      <c r="K423" s="30" t="n">
        <v>57</v>
      </c>
      <c r="L423" s="30"/>
      <c r="M423" s="30" t="s">
        <v>1012</v>
      </c>
      <c r="N423" s="30" t="s">
        <v>54</v>
      </c>
      <c r="O423" s="30"/>
      <c r="P423" s="30"/>
      <c r="Q423" s="30"/>
      <c r="R423" s="30"/>
      <c r="S423" s="30"/>
      <c r="T423" s="30"/>
      <c r="U423" s="30" t="n">
        <v>354.35</v>
      </c>
      <c r="V423" s="30" t="n">
        <v>516.03</v>
      </c>
      <c r="W423" s="30" t="n">
        <v>97.37</v>
      </c>
      <c r="X423" s="30" t="s">
        <v>1005</v>
      </c>
      <c r="Y423" s="30" t="n">
        <v>76.7</v>
      </c>
      <c r="Z423" s="30" t="s">
        <v>1005</v>
      </c>
      <c r="AA423" s="30" t="n">
        <v>99.23</v>
      </c>
      <c r="AB423" s="30" t="s">
        <v>1005</v>
      </c>
      <c r="AC423" s="30" t="n">
        <v>20.93</v>
      </c>
      <c r="AD423" s="30" t="s">
        <v>1005</v>
      </c>
      <c r="AE423" s="30" t="n">
        <v>15.73</v>
      </c>
      <c r="AF423" s="30" t="s">
        <v>1005</v>
      </c>
      <c r="AG423" s="30" t="n">
        <v>0</v>
      </c>
      <c r="AH423" s="30" t="s">
        <v>1005</v>
      </c>
      <c r="AI423" s="30" t="n">
        <v>0</v>
      </c>
      <c r="AJ423" s="30" t="s">
        <v>1005</v>
      </c>
      <c r="AK423" s="30" t="n">
        <v>0</v>
      </c>
      <c r="AL423" s="30" t="s">
        <v>1005</v>
      </c>
      <c r="AM423" s="30" t="n">
        <v>0</v>
      </c>
      <c r="AN423" s="30" t="s">
        <v>1005</v>
      </c>
      <c r="AO423" s="30" t="n">
        <v>69.39</v>
      </c>
      <c r="AP423" s="30" t="s">
        <v>1006</v>
      </c>
      <c r="AQ423" s="30" t="n">
        <v>31.44</v>
      </c>
      <c r="AR423" s="30" t="s">
        <v>1005</v>
      </c>
      <c r="AS423" s="30" t="n">
        <v>31.68</v>
      </c>
      <c r="AT423" s="30" t="s">
        <v>1005</v>
      </c>
      <c r="AU423" s="30" t="n">
        <v>442.47</v>
      </c>
      <c r="AV423" s="30" t="n">
        <v>0.210735</v>
      </c>
      <c r="AW423" s="30" t="s">
        <v>1013</v>
      </c>
      <c r="AX423" s="30" t="s">
        <v>1008</v>
      </c>
      <c r="AY423" s="30" t="n">
        <v>1</v>
      </c>
      <c r="AZ423" s="30"/>
    </row>
    <row collapsed="false" customFormat="true" customHeight="true" hidden="false" ht="33" outlineLevel="0" r="424" s="73">
      <c r="A424" s="30" t="n">
        <v>461</v>
      </c>
      <c r="B424" s="30" t="s">
        <v>648</v>
      </c>
      <c r="C424" s="30" t="s">
        <v>1009</v>
      </c>
      <c r="D424" s="30" t="s">
        <v>999</v>
      </c>
      <c r="E424" s="30" t="s">
        <v>1010</v>
      </c>
      <c r="F424" s="30" t="s">
        <v>1011</v>
      </c>
      <c r="G424" s="30" t="s">
        <v>1002</v>
      </c>
      <c r="H424" s="30" t="s">
        <v>1003</v>
      </c>
      <c r="I424" s="30" t="n">
        <v>0</v>
      </c>
      <c r="J424" s="30"/>
      <c r="K424" s="30" t="n">
        <v>76</v>
      </c>
      <c r="L424" s="30"/>
      <c r="M424" s="30" t="s">
        <v>1012</v>
      </c>
      <c r="N424" s="30" t="s">
        <v>54</v>
      </c>
      <c r="O424" s="30"/>
      <c r="P424" s="30"/>
      <c r="Q424" s="30"/>
      <c r="R424" s="30"/>
      <c r="S424" s="30"/>
      <c r="T424" s="30"/>
      <c r="U424" s="30" t="n">
        <v>193.44</v>
      </c>
      <c r="V424" s="30" t="n">
        <v>181.12</v>
      </c>
      <c r="W424" s="30" t="n">
        <v>32.61</v>
      </c>
      <c r="X424" s="30" t="s">
        <v>1006</v>
      </c>
      <c r="Y424" s="30" t="n">
        <v>32.61</v>
      </c>
      <c r="Z424" s="30" t="s">
        <v>1006</v>
      </c>
      <c r="AA424" s="30" t="n">
        <v>32.61</v>
      </c>
      <c r="AB424" s="30" t="s">
        <v>1006</v>
      </c>
      <c r="AC424" s="30" t="n">
        <v>32.61</v>
      </c>
      <c r="AD424" s="30" t="s">
        <v>1006</v>
      </c>
      <c r="AE424" s="30" t="n">
        <v>9.47</v>
      </c>
      <c r="AF424" s="30" t="s">
        <v>1006</v>
      </c>
      <c r="AG424" s="30" t="n">
        <v>0</v>
      </c>
      <c r="AH424" s="30" t="s">
        <v>1006</v>
      </c>
      <c r="AI424" s="30" t="n">
        <v>0</v>
      </c>
      <c r="AJ424" s="30" t="s">
        <v>1006</v>
      </c>
      <c r="AK424" s="30" t="n">
        <v>0</v>
      </c>
      <c r="AL424" s="30" t="s">
        <v>1006</v>
      </c>
      <c r="AM424" s="30" t="n">
        <v>0</v>
      </c>
      <c r="AN424" s="30" t="s">
        <v>1006</v>
      </c>
      <c r="AO424" s="30" t="n">
        <v>30.21</v>
      </c>
      <c r="AP424" s="30" t="s">
        <v>1006</v>
      </c>
      <c r="AQ424" s="30" t="n">
        <v>30.21</v>
      </c>
      <c r="AR424" s="30" t="s">
        <v>1006</v>
      </c>
      <c r="AS424" s="30" t="n">
        <v>30.21</v>
      </c>
      <c r="AT424" s="30" t="s">
        <v>1006</v>
      </c>
      <c r="AU424" s="30" t="n">
        <v>230.54</v>
      </c>
      <c r="AV424" s="30" t="n">
        <v>0.115</v>
      </c>
      <c r="AW424" s="30" t="s">
        <v>1013</v>
      </c>
      <c r="AX424" s="30" t="s">
        <v>1008</v>
      </c>
      <c r="AY424" s="30" t="n">
        <v>1</v>
      </c>
      <c r="AZ424" s="30"/>
    </row>
    <row collapsed="false" customFormat="true" customHeight="true" hidden="false" ht="33" outlineLevel="0" r="425" s="73">
      <c r="A425" s="30" t="n">
        <v>462</v>
      </c>
      <c r="B425" s="30" t="s">
        <v>650</v>
      </c>
      <c r="C425" s="30" t="s">
        <v>1009</v>
      </c>
      <c r="D425" s="30" t="s">
        <v>999</v>
      </c>
      <c r="E425" s="30" t="s">
        <v>1000</v>
      </c>
      <c r="F425" s="30" t="s">
        <v>1014</v>
      </c>
      <c r="G425" s="30" t="s">
        <v>1002</v>
      </c>
      <c r="H425" s="30" t="s">
        <v>1003</v>
      </c>
      <c r="I425" s="30" t="n">
        <v>1</v>
      </c>
      <c r="J425" s="30"/>
      <c r="K425" s="30" t="n">
        <v>57</v>
      </c>
      <c r="L425" s="30" t="n">
        <v>10</v>
      </c>
      <c r="M425" s="30" t="s">
        <v>1004</v>
      </c>
      <c r="N425" s="30" t="s">
        <v>54</v>
      </c>
      <c r="O425" s="30"/>
      <c r="P425" s="30"/>
      <c r="Q425" s="30"/>
      <c r="R425" s="30"/>
      <c r="S425" s="30"/>
      <c r="T425" s="30"/>
      <c r="U425" s="30" t="n">
        <v>181.2</v>
      </c>
      <c r="V425" s="30" t="n">
        <v>166.09</v>
      </c>
      <c r="W425" s="30" t="n">
        <v>37.95</v>
      </c>
      <c r="X425" s="30" t="s">
        <v>1005</v>
      </c>
      <c r="Y425" s="30" t="n">
        <v>26.52</v>
      </c>
      <c r="Z425" s="30" t="s">
        <v>1005</v>
      </c>
      <c r="AA425" s="30" t="n">
        <v>33.5</v>
      </c>
      <c r="AB425" s="30" t="s">
        <v>1005</v>
      </c>
      <c r="AC425" s="30" t="n">
        <v>11.55</v>
      </c>
      <c r="AD425" s="30" t="s">
        <v>1005</v>
      </c>
      <c r="AE425" s="30" t="n">
        <v>6.97</v>
      </c>
      <c r="AF425" s="30" t="s">
        <v>1005</v>
      </c>
      <c r="AG425" s="30" t="n">
        <v>0</v>
      </c>
      <c r="AH425" s="30" t="s">
        <v>1006</v>
      </c>
      <c r="AI425" s="30" t="n">
        <v>0</v>
      </c>
      <c r="AJ425" s="30" t="s">
        <v>1006</v>
      </c>
      <c r="AK425" s="30" t="n">
        <v>0</v>
      </c>
      <c r="AL425" s="30" t="s">
        <v>1006</v>
      </c>
      <c r="AM425" s="30" t="n">
        <v>0</v>
      </c>
      <c r="AN425" s="30" t="s">
        <v>1005</v>
      </c>
      <c r="AO425" s="30" t="n">
        <v>14.74</v>
      </c>
      <c r="AP425" s="30" t="s">
        <v>1005</v>
      </c>
      <c r="AQ425" s="30" t="n">
        <v>16.46</v>
      </c>
      <c r="AR425" s="30" t="s">
        <v>1005</v>
      </c>
      <c r="AS425" s="30" t="n">
        <v>21.87</v>
      </c>
      <c r="AT425" s="30" t="s">
        <v>1005</v>
      </c>
      <c r="AU425" s="30" t="n">
        <v>169.56</v>
      </c>
      <c r="AV425" s="30" t="n">
        <v>0.08429</v>
      </c>
      <c r="AW425" s="30" t="s">
        <v>1007</v>
      </c>
      <c r="AX425" s="30" t="s">
        <v>1008</v>
      </c>
      <c r="AY425" s="30" t="n">
        <v>1</v>
      </c>
      <c r="AZ425" s="30"/>
    </row>
    <row collapsed="false" customFormat="true" customHeight="true" hidden="false" ht="33" outlineLevel="0" r="426" s="73">
      <c r="A426" s="30" t="n">
        <v>463</v>
      </c>
      <c r="B426" s="30" t="s">
        <v>651</v>
      </c>
      <c r="C426" s="30" t="s">
        <v>1009</v>
      </c>
      <c r="D426" s="30" t="s">
        <v>999</v>
      </c>
      <c r="E426" s="30" t="s">
        <v>1000</v>
      </c>
      <c r="F426" s="30" t="s">
        <v>1014</v>
      </c>
      <c r="G426" s="30" t="s">
        <v>1002</v>
      </c>
      <c r="H426" s="30" t="s">
        <v>1003</v>
      </c>
      <c r="I426" s="30" t="n">
        <v>1</v>
      </c>
      <c r="J426" s="30"/>
      <c r="K426" s="30" t="n">
        <v>76</v>
      </c>
      <c r="L426" s="30" t="n">
        <v>10</v>
      </c>
      <c r="M426" s="30" t="s">
        <v>1004</v>
      </c>
      <c r="N426" s="30" t="s">
        <v>54</v>
      </c>
      <c r="O426" s="30"/>
      <c r="P426" s="30"/>
      <c r="Q426" s="30"/>
      <c r="R426" s="30"/>
      <c r="S426" s="30"/>
      <c r="T426" s="30"/>
      <c r="U426" s="30" t="n">
        <v>222.76</v>
      </c>
      <c r="V426" s="30" t="n">
        <v>213.87</v>
      </c>
      <c r="W426" s="30" t="n">
        <v>73.7</v>
      </c>
      <c r="X426" s="30" t="s">
        <v>1005</v>
      </c>
      <c r="Y426" s="30" t="n">
        <v>42.88</v>
      </c>
      <c r="Z426" s="30" t="s">
        <v>1005</v>
      </c>
      <c r="AA426" s="30" t="n">
        <v>58.76</v>
      </c>
      <c r="AB426" s="30" t="s">
        <v>1005</v>
      </c>
      <c r="AC426" s="30" t="n">
        <v>17.06</v>
      </c>
      <c r="AD426" s="30" t="s">
        <v>1005</v>
      </c>
      <c r="AE426" s="30" t="n">
        <v>11.15</v>
      </c>
      <c r="AF426" s="30" t="s">
        <v>1005</v>
      </c>
      <c r="AG426" s="30" t="n">
        <v>0</v>
      </c>
      <c r="AH426" s="30" t="s">
        <v>1006</v>
      </c>
      <c r="AI426" s="30" t="n">
        <v>0</v>
      </c>
      <c r="AJ426" s="30" t="s">
        <v>1006</v>
      </c>
      <c r="AK426" s="30" t="n">
        <v>0</v>
      </c>
      <c r="AL426" s="30" t="s">
        <v>1006</v>
      </c>
      <c r="AM426" s="30" t="n">
        <v>0</v>
      </c>
      <c r="AN426" s="30" t="s">
        <v>1005</v>
      </c>
      <c r="AO426" s="30" t="n">
        <v>25.82</v>
      </c>
      <c r="AP426" s="30" t="s">
        <v>1005</v>
      </c>
      <c r="AQ426" s="30" t="n">
        <v>31.5</v>
      </c>
      <c r="AR426" s="30" t="s">
        <v>1005</v>
      </c>
      <c r="AS426" s="30" t="n">
        <v>40.03</v>
      </c>
      <c r="AT426" s="30" t="s">
        <v>1005</v>
      </c>
      <c r="AU426" s="30" t="n">
        <v>300.9</v>
      </c>
      <c r="AV426" s="30" t="n">
        <v>0.08569</v>
      </c>
      <c r="AW426" s="30" t="s">
        <v>1007</v>
      </c>
      <c r="AX426" s="30" t="s">
        <v>1008</v>
      </c>
      <c r="AY426" s="30" t="n">
        <v>1</v>
      </c>
      <c r="AZ426" s="30"/>
    </row>
    <row collapsed="false" customFormat="true" customHeight="true" hidden="false" ht="33" outlineLevel="0" r="427" s="73">
      <c r="A427" s="30" t="n">
        <v>464</v>
      </c>
      <c r="B427" s="30" t="s">
        <v>652</v>
      </c>
      <c r="C427" s="30" t="s">
        <v>1009</v>
      </c>
      <c r="D427" s="30" t="s">
        <v>999</v>
      </c>
      <c r="E427" s="30" t="s">
        <v>1000</v>
      </c>
      <c r="F427" s="30" t="s">
        <v>1014</v>
      </c>
      <c r="G427" s="30" t="s">
        <v>1002</v>
      </c>
      <c r="H427" s="30" t="s">
        <v>1003</v>
      </c>
      <c r="I427" s="30" t="n">
        <v>1</v>
      </c>
      <c r="J427" s="30"/>
      <c r="K427" s="30" t="n">
        <v>57</v>
      </c>
      <c r="L427" s="30" t="n">
        <v>10</v>
      </c>
      <c r="M427" s="30" t="s">
        <v>1004</v>
      </c>
      <c r="N427" s="30" t="s">
        <v>54</v>
      </c>
      <c r="O427" s="30"/>
      <c r="P427" s="30"/>
      <c r="Q427" s="30"/>
      <c r="R427" s="30"/>
      <c r="S427" s="30"/>
      <c r="T427" s="30"/>
      <c r="U427" s="30" t="n">
        <v>236.04</v>
      </c>
      <c r="V427" s="30" t="n">
        <v>159.82</v>
      </c>
      <c r="W427" s="30" t="n">
        <v>18.91</v>
      </c>
      <c r="X427" s="30" t="s">
        <v>1005</v>
      </c>
      <c r="Y427" s="30" t="n">
        <v>13.78</v>
      </c>
      <c r="Z427" s="30" t="s">
        <v>1005</v>
      </c>
      <c r="AA427" s="30" t="n">
        <v>15.56</v>
      </c>
      <c r="AB427" s="30" t="s">
        <v>1005</v>
      </c>
      <c r="AC427" s="30" t="n">
        <v>11.49</v>
      </c>
      <c r="AD427" s="30" t="s">
        <v>1005</v>
      </c>
      <c r="AE427" s="30" t="n">
        <v>3.29</v>
      </c>
      <c r="AF427" s="30" t="s">
        <v>1005</v>
      </c>
      <c r="AG427" s="30" t="n">
        <v>0</v>
      </c>
      <c r="AH427" s="30" t="s">
        <v>1006</v>
      </c>
      <c r="AI427" s="30" t="n">
        <v>0</v>
      </c>
      <c r="AJ427" s="30" t="s">
        <v>1006</v>
      </c>
      <c r="AK427" s="30" t="n">
        <v>0</v>
      </c>
      <c r="AL427" s="30" t="s">
        <v>1006</v>
      </c>
      <c r="AM427" s="30" t="n">
        <v>0</v>
      </c>
      <c r="AN427" s="30" t="s">
        <v>1005</v>
      </c>
      <c r="AO427" s="30" t="n">
        <v>4.29</v>
      </c>
      <c r="AP427" s="30" t="s">
        <v>1005</v>
      </c>
      <c r="AQ427" s="30" t="n">
        <v>4.83</v>
      </c>
      <c r="AR427" s="30" t="s">
        <v>1005</v>
      </c>
      <c r="AS427" s="30" t="n">
        <v>6.39</v>
      </c>
      <c r="AT427" s="30" t="s">
        <v>1005</v>
      </c>
      <c r="AU427" s="30" t="n">
        <v>78.54</v>
      </c>
      <c r="AV427" s="30" t="n">
        <v>0.0883</v>
      </c>
      <c r="AW427" s="30" t="s">
        <v>1007</v>
      </c>
      <c r="AX427" s="30" t="s">
        <v>1008</v>
      </c>
      <c r="AY427" s="30" t="n">
        <v>1</v>
      </c>
      <c r="AZ427" s="30"/>
    </row>
    <row collapsed="false" customFormat="true" customHeight="true" hidden="false" ht="33" outlineLevel="0" r="428" s="73">
      <c r="A428" s="30" t="n">
        <v>465</v>
      </c>
      <c r="B428" s="30" t="s">
        <v>653</v>
      </c>
      <c r="C428" s="30" t="s">
        <v>1009</v>
      </c>
      <c r="D428" s="30" t="s">
        <v>999</v>
      </c>
      <c r="E428" s="30" t="s">
        <v>1000</v>
      </c>
      <c r="F428" s="30" t="s">
        <v>1014</v>
      </c>
      <c r="G428" s="30" t="s">
        <v>1002</v>
      </c>
      <c r="H428" s="30" t="s">
        <v>1003</v>
      </c>
      <c r="I428" s="30" t="n">
        <v>1</v>
      </c>
      <c r="J428" s="30"/>
      <c r="K428" s="30" t="n">
        <v>76</v>
      </c>
      <c r="L428" s="30" t="n">
        <v>10</v>
      </c>
      <c r="M428" s="30" t="s">
        <v>1004</v>
      </c>
      <c r="N428" s="30" t="s">
        <v>54</v>
      </c>
      <c r="O428" s="30"/>
      <c r="P428" s="30"/>
      <c r="Q428" s="30"/>
      <c r="R428" s="30"/>
      <c r="S428" s="30"/>
      <c r="T428" s="30"/>
      <c r="U428" s="30" t="n">
        <v>301.92</v>
      </c>
      <c r="V428" s="30" t="n">
        <v>289.99</v>
      </c>
      <c r="W428" s="30" t="n">
        <v>69.83</v>
      </c>
      <c r="X428" s="30" t="s">
        <v>1005</v>
      </c>
      <c r="Y428" s="30" t="n">
        <v>52.78</v>
      </c>
      <c r="Z428" s="30" t="s">
        <v>1005</v>
      </c>
      <c r="AA428" s="30" t="n">
        <v>59.11</v>
      </c>
      <c r="AB428" s="30" t="s">
        <v>1005</v>
      </c>
      <c r="AC428" s="30" t="n">
        <v>23.6</v>
      </c>
      <c r="AD428" s="30" t="s">
        <v>1005</v>
      </c>
      <c r="AE428" s="30" t="n">
        <v>13.61</v>
      </c>
      <c r="AF428" s="30" t="s">
        <v>1005</v>
      </c>
      <c r="AG428" s="30" t="n">
        <v>0</v>
      </c>
      <c r="AH428" s="30" t="s">
        <v>1006</v>
      </c>
      <c r="AI428" s="30" t="n">
        <v>0</v>
      </c>
      <c r="AJ428" s="30" t="s">
        <v>1006</v>
      </c>
      <c r="AK428" s="30" t="n">
        <v>0</v>
      </c>
      <c r="AL428" s="30" t="s">
        <v>1006</v>
      </c>
      <c r="AM428" s="30" t="n">
        <v>0</v>
      </c>
      <c r="AN428" s="30" t="s">
        <v>1005</v>
      </c>
      <c r="AO428" s="30" t="n">
        <v>28.06</v>
      </c>
      <c r="AP428" s="30" t="s">
        <v>1005</v>
      </c>
      <c r="AQ428" s="30" t="n">
        <v>30.51</v>
      </c>
      <c r="AR428" s="30" t="s">
        <v>1005</v>
      </c>
      <c r="AS428" s="30" t="n">
        <v>39.09</v>
      </c>
      <c r="AT428" s="30" t="s">
        <v>1005</v>
      </c>
      <c r="AU428" s="30" t="n">
        <v>316.59</v>
      </c>
      <c r="AV428" s="30" t="n">
        <v>0.13947</v>
      </c>
      <c r="AW428" s="30" t="s">
        <v>1007</v>
      </c>
      <c r="AX428" s="30" t="s">
        <v>1008</v>
      </c>
      <c r="AY428" s="30" t="n">
        <v>1</v>
      </c>
      <c r="AZ428" s="30"/>
    </row>
    <row collapsed="false" customFormat="true" customHeight="true" hidden="false" ht="33" outlineLevel="0" r="429" s="73">
      <c r="A429" s="30" t="n">
        <v>466</v>
      </c>
      <c r="B429" s="30" t="s">
        <v>654</v>
      </c>
      <c r="C429" s="30" t="s">
        <v>1009</v>
      </c>
      <c r="D429" s="30" t="s">
        <v>999</v>
      </c>
      <c r="E429" s="30" t="s">
        <v>1000</v>
      </c>
      <c r="F429" s="30" t="s">
        <v>1014</v>
      </c>
      <c r="G429" s="30" t="s">
        <v>1002</v>
      </c>
      <c r="H429" s="30" t="s">
        <v>1003</v>
      </c>
      <c r="I429" s="30" t="n">
        <v>1</v>
      </c>
      <c r="J429" s="30"/>
      <c r="K429" s="30" t="n">
        <v>57</v>
      </c>
      <c r="L429" s="30" t="n">
        <v>10</v>
      </c>
      <c r="M429" s="30" t="s">
        <v>1004</v>
      </c>
      <c r="N429" s="30" t="s">
        <v>54</v>
      </c>
      <c r="O429" s="30"/>
      <c r="P429" s="30"/>
      <c r="Q429" s="30"/>
      <c r="R429" s="30"/>
      <c r="S429" s="30"/>
      <c r="T429" s="30"/>
      <c r="U429" s="30" t="n">
        <v>233.53</v>
      </c>
      <c r="V429" s="30" t="n">
        <v>182.8</v>
      </c>
      <c r="W429" s="30" t="n">
        <v>45.14</v>
      </c>
      <c r="X429" s="30" t="s">
        <v>1005</v>
      </c>
      <c r="Y429" s="30" t="n">
        <v>31.58</v>
      </c>
      <c r="Z429" s="30" t="s">
        <v>1005</v>
      </c>
      <c r="AA429" s="30" t="n">
        <v>38.33</v>
      </c>
      <c r="AB429" s="30" t="s">
        <v>1005</v>
      </c>
      <c r="AC429" s="30" t="n">
        <v>13.9</v>
      </c>
      <c r="AD429" s="30" t="s">
        <v>1005</v>
      </c>
      <c r="AE429" s="30" t="n">
        <v>7.93</v>
      </c>
      <c r="AF429" s="30" t="s">
        <v>1005</v>
      </c>
      <c r="AG429" s="30" t="n">
        <v>0</v>
      </c>
      <c r="AH429" s="30" t="s">
        <v>1006</v>
      </c>
      <c r="AI429" s="30" t="n">
        <v>0</v>
      </c>
      <c r="AJ429" s="30" t="s">
        <v>1006</v>
      </c>
      <c r="AK429" s="30" t="n">
        <v>0</v>
      </c>
      <c r="AL429" s="30" t="s">
        <v>1006</v>
      </c>
      <c r="AM429" s="30" t="n">
        <v>0</v>
      </c>
      <c r="AN429" s="30" t="s">
        <v>1005</v>
      </c>
      <c r="AO429" s="30" t="n">
        <v>14.1</v>
      </c>
      <c r="AP429" s="30" t="s">
        <v>1005</v>
      </c>
      <c r="AQ429" s="30" t="n">
        <v>16.38</v>
      </c>
      <c r="AR429" s="30" t="s">
        <v>1005</v>
      </c>
      <c r="AS429" s="30" t="n">
        <v>21.13</v>
      </c>
      <c r="AT429" s="30" t="s">
        <v>1005</v>
      </c>
      <c r="AU429" s="30" t="n">
        <v>188.49</v>
      </c>
      <c r="AV429" s="30" t="n">
        <v>0.0883</v>
      </c>
      <c r="AW429" s="30" t="s">
        <v>1007</v>
      </c>
      <c r="AX429" s="30" t="s">
        <v>1008</v>
      </c>
      <c r="AY429" s="30" t="n">
        <v>1</v>
      </c>
      <c r="AZ429" s="30"/>
    </row>
    <row collapsed="false" customFormat="true" customHeight="true" hidden="false" ht="33" outlineLevel="0" r="430" s="73">
      <c r="A430" s="30" t="n">
        <v>467</v>
      </c>
      <c r="B430" s="30" t="s">
        <v>655</v>
      </c>
      <c r="C430" s="30" t="s">
        <v>1009</v>
      </c>
      <c r="D430" s="30" t="s">
        <v>999</v>
      </c>
      <c r="E430" s="30" t="s">
        <v>1000</v>
      </c>
      <c r="F430" s="30" t="s">
        <v>1014</v>
      </c>
      <c r="G430" s="30" t="s">
        <v>1002</v>
      </c>
      <c r="H430" s="30" t="s">
        <v>1003</v>
      </c>
      <c r="I430" s="30" t="n">
        <v>0</v>
      </c>
      <c r="J430" s="30"/>
      <c r="K430" s="30" t="n">
        <v>50</v>
      </c>
      <c r="L430" s="30" t="n">
        <v>7</v>
      </c>
      <c r="M430" s="30" t="s">
        <v>1004</v>
      </c>
      <c r="N430" s="30" t="s">
        <v>54</v>
      </c>
      <c r="O430" s="30"/>
      <c r="P430" s="30"/>
      <c r="Q430" s="30"/>
      <c r="R430" s="30"/>
      <c r="S430" s="30"/>
      <c r="T430" s="30"/>
      <c r="U430" s="30" t="n">
        <v>274.28</v>
      </c>
      <c r="V430" s="30" t="n">
        <v>304.57</v>
      </c>
      <c r="W430" s="30"/>
      <c r="X430" s="30" t="s">
        <v>1006</v>
      </c>
      <c r="Y430" s="30"/>
      <c r="Z430" s="30" t="s">
        <v>1006</v>
      </c>
      <c r="AA430" s="30"/>
      <c r="AB430" s="30" t="s">
        <v>1006</v>
      </c>
      <c r="AC430" s="30"/>
      <c r="AD430" s="30" t="s">
        <v>1006</v>
      </c>
      <c r="AE430" s="30"/>
      <c r="AF430" s="30" t="s">
        <v>1006</v>
      </c>
      <c r="AG430" s="30" t="n">
        <v>0</v>
      </c>
      <c r="AH430" s="30" t="s">
        <v>1006</v>
      </c>
      <c r="AI430" s="30" t="n">
        <v>0</v>
      </c>
      <c r="AJ430" s="30" t="s">
        <v>1006</v>
      </c>
      <c r="AK430" s="30" t="n">
        <v>0</v>
      </c>
      <c r="AL430" s="30" t="s">
        <v>1006</v>
      </c>
      <c r="AM430" s="30" t="n">
        <v>7.7</v>
      </c>
      <c r="AN430" s="30" t="s">
        <v>1006</v>
      </c>
      <c r="AO430" s="30" t="n">
        <v>33.01</v>
      </c>
      <c r="AP430" s="30" t="s">
        <v>1006</v>
      </c>
      <c r="AQ430" s="30" t="n">
        <v>33.01</v>
      </c>
      <c r="AR430" s="30" t="s">
        <v>1006</v>
      </c>
      <c r="AS430" s="30" t="n">
        <v>33.01</v>
      </c>
      <c r="AT430" s="30" t="s">
        <v>1006</v>
      </c>
      <c r="AU430" s="30" t="n">
        <v>106.73</v>
      </c>
      <c r="AV430" s="30" t="n">
        <v>0.12441</v>
      </c>
      <c r="AW430" s="30" t="s">
        <v>1007</v>
      </c>
      <c r="AX430" s="30" t="s">
        <v>1008</v>
      </c>
      <c r="AY430" s="30" t="n">
        <v>1</v>
      </c>
      <c r="AZ430" s="30"/>
    </row>
    <row collapsed="false" customFormat="true" customHeight="true" hidden="false" ht="33" outlineLevel="0" r="431" s="73">
      <c r="A431" s="30" t="n">
        <v>468</v>
      </c>
      <c r="B431" s="30" t="s">
        <v>656</v>
      </c>
      <c r="C431" s="30" t="s">
        <v>1009</v>
      </c>
      <c r="D431" s="30" t="s">
        <v>999</v>
      </c>
      <c r="E431" s="30" t="s">
        <v>1000</v>
      </c>
      <c r="F431" s="30" t="s">
        <v>1014</v>
      </c>
      <c r="G431" s="30" t="s">
        <v>1002</v>
      </c>
      <c r="H431" s="30" t="s">
        <v>1003</v>
      </c>
      <c r="I431" s="30" t="n">
        <v>1</v>
      </c>
      <c r="J431" s="30"/>
      <c r="K431" s="30" t="n">
        <v>76</v>
      </c>
      <c r="L431" s="30" t="n">
        <v>10</v>
      </c>
      <c r="M431" s="30" t="s">
        <v>1004</v>
      </c>
      <c r="N431" s="30" t="s">
        <v>54</v>
      </c>
      <c r="O431" s="30"/>
      <c r="P431" s="30"/>
      <c r="Q431" s="30"/>
      <c r="R431" s="30"/>
      <c r="S431" s="30"/>
      <c r="T431" s="30"/>
      <c r="U431" s="30" t="n">
        <v>166.31</v>
      </c>
      <c r="V431" s="30" t="n">
        <v>191.4</v>
      </c>
      <c r="W431" s="30" t="n">
        <v>35.21</v>
      </c>
      <c r="X431" s="30" t="s">
        <v>1005</v>
      </c>
      <c r="Y431" s="30" t="n">
        <v>25.9</v>
      </c>
      <c r="Z431" s="30" t="s">
        <v>1005</v>
      </c>
      <c r="AA431" s="30" t="n">
        <v>37.08</v>
      </c>
      <c r="AB431" s="30" t="s">
        <v>1005</v>
      </c>
      <c r="AC431" s="30" t="n">
        <v>13.81</v>
      </c>
      <c r="AD431" s="30" t="s">
        <v>1005</v>
      </c>
      <c r="AE431" s="30" t="n">
        <v>7.55</v>
      </c>
      <c r="AF431" s="30" t="s">
        <v>1005</v>
      </c>
      <c r="AG431" s="30" t="n">
        <v>0</v>
      </c>
      <c r="AH431" s="30" t="s">
        <v>1006</v>
      </c>
      <c r="AI431" s="30" t="n">
        <v>0</v>
      </c>
      <c r="AJ431" s="30" t="s">
        <v>1006</v>
      </c>
      <c r="AK431" s="30" t="n">
        <v>0</v>
      </c>
      <c r="AL431" s="30" t="s">
        <v>1006</v>
      </c>
      <c r="AM431" s="30" t="n">
        <v>0</v>
      </c>
      <c r="AN431" s="30" t="s">
        <v>1005</v>
      </c>
      <c r="AO431" s="30" t="n">
        <v>16.8</v>
      </c>
      <c r="AP431" s="30" t="s">
        <v>1005</v>
      </c>
      <c r="AQ431" s="30" t="n">
        <v>18.52</v>
      </c>
      <c r="AR431" s="30" t="s">
        <v>1005</v>
      </c>
      <c r="AS431" s="30" t="n">
        <v>24.07</v>
      </c>
      <c r="AT431" s="30" t="s">
        <v>1005</v>
      </c>
      <c r="AU431" s="30" t="n">
        <v>178.94</v>
      </c>
      <c r="AV431" s="30" t="n">
        <v>0.0873</v>
      </c>
      <c r="AW431" s="30" t="s">
        <v>1007</v>
      </c>
      <c r="AX431" s="30" t="s">
        <v>1008</v>
      </c>
      <c r="AY431" s="30" t="n">
        <v>1</v>
      </c>
      <c r="AZ431" s="30"/>
    </row>
    <row collapsed="false" customFormat="true" customHeight="true" hidden="false" ht="33" outlineLevel="0" r="432" s="73">
      <c r="A432" s="30" t="n">
        <v>469</v>
      </c>
      <c r="B432" s="30" t="s">
        <v>658</v>
      </c>
      <c r="C432" s="30" t="s">
        <v>1009</v>
      </c>
      <c r="D432" s="30" t="s">
        <v>999</v>
      </c>
      <c r="E432" s="30" t="s">
        <v>1000</v>
      </c>
      <c r="F432" s="30" t="s">
        <v>1014</v>
      </c>
      <c r="G432" s="30" t="s">
        <v>1002</v>
      </c>
      <c r="H432" s="30" t="s">
        <v>1003</v>
      </c>
      <c r="I432" s="30" t="n">
        <v>1</v>
      </c>
      <c r="J432" s="30"/>
      <c r="K432" s="30" t="n">
        <v>76</v>
      </c>
      <c r="L432" s="30" t="n">
        <v>10</v>
      </c>
      <c r="M432" s="30" t="s">
        <v>1004</v>
      </c>
      <c r="N432" s="30" t="s">
        <v>54</v>
      </c>
      <c r="O432" s="30"/>
      <c r="P432" s="30"/>
      <c r="Q432" s="30"/>
      <c r="R432" s="30"/>
      <c r="S432" s="30"/>
      <c r="T432" s="30"/>
      <c r="U432" s="30" t="n">
        <v>222.85</v>
      </c>
      <c r="V432" s="30" t="n">
        <v>263.79</v>
      </c>
      <c r="W432" s="30" t="n">
        <v>60.95</v>
      </c>
      <c r="X432" s="30" t="s">
        <v>1005</v>
      </c>
      <c r="Y432" s="30" t="n">
        <v>42.25</v>
      </c>
      <c r="Z432" s="30" t="s">
        <v>1005</v>
      </c>
      <c r="AA432" s="30" t="n">
        <v>53.83</v>
      </c>
      <c r="AB432" s="30" t="s">
        <v>1005</v>
      </c>
      <c r="AC432" s="30" t="n">
        <v>20.5</v>
      </c>
      <c r="AD432" s="30" t="s">
        <v>1005</v>
      </c>
      <c r="AE432" s="30" t="n">
        <v>11.34</v>
      </c>
      <c r="AF432" s="30" t="s">
        <v>1005</v>
      </c>
      <c r="AG432" s="30" t="n">
        <v>0</v>
      </c>
      <c r="AH432" s="30" t="s">
        <v>1006</v>
      </c>
      <c r="AI432" s="30" t="n">
        <v>0</v>
      </c>
      <c r="AJ432" s="30" t="s">
        <v>1006</v>
      </c>
      <c r="AK432" s="30" t="n">
        <v>0</v>
      </c>
      <c r="AL432" s="30" t="s">
        <v>1006</v>
      </c>
      <c r="AM432" s="30" t="n">
        <v>0</v>
      </c>
      <c r="AN432" s="30" t="s">
        <v>1005</v>
      </c>
      <c r="AO432" s="30" t="n">
        <v>24.96</v>
      </c>
      <c r="AP432" s="30" t="s">
        <v>1005</v>
      </c>
      <c r="AQ432" s="30" t="n">
        <v>30.04</v>
      </c>
      <c r="AR432" s="30" t="s">
        <v>1005</v>
      </c>
      <c r="AS432" s="30" t="n">
        <v>37.97</v>
      </c>
      <c r="AT432" s="30" t="s">
        <v>1005</v>
      </c>
      <c r="AU432" s="30" t="n">
        <v>281.84</v>
      </c>
      <c r="AV432" s="30" t="n">
        <v>0.09633</v>
      </c>
      <c r="AW432" s="30" t="s">
        <v>1007</v>
      </c>
      <c r="AX432" s="30" t="s">
        <v>1008</v>
      </c>
      <c r="AY432" s="30" t="n">
        <v>1</v>
      </c>
      <c r="AZ432" s="30"/>
    </row>
    <row collapsed="false" customFormat="true" customHeight="true" hidden="false" ht="33" outlineLevel="0" r="433" s="73">
      <c r="A433" s="30" t="n">
        <v>470</v>
      </c>
      <c r="B433" s="30" t="s">
        <v>660</v>
      </c>
      <c r="C433" s="30" t="s">
        <v>1009</v>
      </c>
      <c r="D433" s="30" t="s">
        <v>999</v>
      </c>
      <c r="E433" s="30" t="s">
        <v>1000</v>
      </c>
      <c r="F433" s="30" t="s">
        <v>1014</v>
      </c>
      <c r="G433" s="30" t="s">
        <v>1002</v>
      </c>
      <c r="H433" s="30" t="s">
        <v>1003</v>
      </c>
      <c r="I433" s="30" t="n">
        <v>1</v>
      </c>
      <c r="J433" s="30"/>
      <c r="K433" s="30" t="n">
        <v>50</v>
      </c>
      <c r="L433" s="30" t="n">
        <v>13</v>
      </c>
      <c r="M433" s="30" t="s">
        <v>1004</v>
      </c>
      <c r="N433" s="30" t="s">
        <v>54</v>
      </c>
      <c r="O433" s="30"/>
      <c r="P433" s="30"/>
      <c r="Q433" s="30"/>
      <c r="R433" s="30"/>
      <c r="S433" s="30"/>
      <c r="T433" s="30"/>
      <c r="U433" s="30" t="n">
        <v>628.16</v>
      </c>
      <c r="V433" s="30" t="n">
        <v>747.41</v>
      </c>
      <c r="W433" s="30"/>
      <c r="X433" s="30" t="s">
        <v>1006</v>
      </c>
      <c r="Y433" s="30"/>
      <c r="Z433" s="30" t="s">
        <v>1006</v>
      </c>
      <c r="AA433" s="30"/>
      <c r="AB433" s="30" t="s">
        <v>1006</v>
      </c>
      <c r="AC433" s="30"/>
      <c r="AD433" s="30" t="s">
        <v>1006</v>
      </c>
      <c r="AE433" s="30"/>
      <c r="AF433" s="30" t="s">
        <v>1006</v>
      </c>
      <c r="AG433" s="30" t="n">
        <v>0</v>
      </c>
      <c r="AH433" s="30" t="s">
        <v>1006</v>
      </c>
      <c r="AI433" s="30" t="n">
        <v>0</v>
      </c>
      <c r="AJ433" s="30" t="s">
        <v>1006</v>
      </c>
      <c r="AK433" s="30" t="n">
        <v>0</v>
      </c>
      <c r="AL433" s="30" t="s">
        <v>1006</v>
      </c>
      <c r="AM433" s="30" t="n">
        <v>21.73</v>
      </c>
      <c r="AN433" s="30" t="s">
        <v>1006</v>
      </c>
      <c r="AO433" s="30" t="n">
        <v>78.82</v>
      </c>
      <c r="AP433" s="30" t="s">
        <v>1006</v>
      </c>
      <c r="AQ433" s="30" t="n">
        <v>78.82</v>
      </c>
      <c r="AR433" s="30" t="s">
        <v>1006</v>
      </c>
      <c r="AS433" s="30" t="n">
        <v>78.82</v>
      </c>
      <c r="AT433" s="30" t="s">
        <v>1006</v>
      </c>
      <c r="AU433" s="30" t="n">
        <v>258.19</v>
      </c>
      <c r="AV433" s="30" t="n">
        <v>0.28494</v>
      </c>
      <c r="AW433" s="30" t="s">
        <v>1007</v>
      </c>
      <c r="AX433" s="30" t="s">
        <v>1008</v>
      </c>
      <c r="AY433" s="30" t="n">
        <v>0</v>
      </c>
      <c r="AZ433" s="30"/>
    </row>
    <row collapsed="false" customFormat="true" customHeight="true" hidden="false" ht="33" outlineLevel="0" r="434" s="73">
      <c r="A434" s="30" t="n">
        <v>471</v>
      </c>
      <c r="B434" s="30" t="s">
        <v>661</v>
      </c>
      <c r="C434" s="30" t="s">
        <v>1009</v>
      </c>
      <c r="D434" s="30" t="s">
        <v>999</v>
      </c>
      <c r="E434" s="30" t="s">
        <v>1000</v>
      </c>
      <c r="F434" s="30" t="s">
        <v>1014</v>
      </c>
      <c r="G434" s="30" t="s">
        <v>1002</v>
      </c>
      <c r="H434" s="30" t="s">
        <v>1003</v>
      </c>
      <c r="I434" s="30" t="n">
        <v>0</v>
      </c>
      <c r="J434" s="30"/>
      <c r="K434" s="30" t="n">
        <v>50</v>
      </c>
      <c r="L434" s="30" t="n">
        <v>10</v>
      </c>
      <c r="M434" s="30" t="s">
        <v>1004</v>
      </c>
      <c r="N434" s="30" t="s">
        <v>54</v>
      </c>
      <c r="O434" s="30"/>
      <c r="P434" s="30"/>
      <c r="Q434" s="30"/>
      <c r="R434" s="30"/>
      <c r="S434" s="30"/>
      <c r="T434" s="30"/>
      <c r="U434" s="30" t="n">
        <v>234.18</v>
      </c>
      <c r="V434" s="30" t="n">
        <v>20217</v>
      </c>
      <c r="W434" s="30"/>
      <c r="X434" s="30" t="s">
        <v>1006</v>
      </c>
      <c r="Y434" s="30"/>
      <c r="Z434" s="30" t="s">
        <v>1006</v>
      </c>
      <c r="AA434" s="30"/>
      <c r="AB434" s="30" t="s">
        <v>1006</v>
      </c>
      <c r="AC434" s="30"/>
      <c r="AD434" s="30" t="s">
        <v>1006</v>
      </c>
      <c r="AE434" s="30"/>
      <c r="AF434" s="30" t="s">
        <v>1006</v>
      </c>
      <c r="AG434" s="30" t="n">
        <v>0</v>
      </c>
      <c r="AH434" s="30" t="s">
        <v>1006</v>
      </c>
      <c r="AI434" s="30" t="n">
        <v>0</v>
      </c>
      <c r="AJ434" s="30" t="s">
        <v>1006</v>
      </c>
      <c r="AK434" s="30" t="n">
        <v>0</v>
      </c>
      <c r="AL434" s="30" t="s">
        <v>1006</v>
      </c>
      <c r="AM434" s="30" t="n">
        <v>7.64</v>
      </c>
      <c r="AN434" s="30" t="s">
        <v>1006</v>
      </c>
      <c r="AO434" s="30" t="n">
        <v>10.41</v>
      </c>
      <c r="AP434" s="30" t="s">
        <v>1006</v>
      </c>
      <c r="AQ434" s="30" t="n">
        <v>10.41</v>
      </c>
      <c r="AR434" s="30" t="s">
        <v>1006</v>
      </c>
      <c r="AS434" s="30" t="n">
        <v>10.41</v>
      </c>
      <c r="AT434" s="30" t="s">
        <v>1006</v>
      </c>
      <c r="AU434" s="30" t="n">
        <v>38.87</v>
      </c>
      <c r="AV434" s="30" t="n">
        <v>0.10636</v>
      </c>
      <c r="AW434" s="30" t="s">
        <v>1007</v>
      </c>
      <c r="AX434" s="30" t="s">
        <v>1008</v>
      </c>
      <c r="AY434" s="30" t="n">
        <v>1</v>
      </c>
      <c r="AZ434" s="30"/>
    </row>
    <row collapsed="false" customFormat="true" customHeight="true" hidden="false" ht="33" outlineLevel="0" r="435" s="73">
      <c r="A435" s="30" t="n">
        <v>472</v>
      </c>
      <c r="B435" s="30" t="s">
        <v>664</v>
      </c>
      <c r="C435" s="30" t="s">
        <v>1009</v>
      </c>
      <c r="D435" s="30" t="s">
        <v>999</v>
      </c>
      <c r="E435" s="30" t="s">
        <v>1000</v>
      </c>
      <c r="F435" s="30" t="s">
        <v>1014</v>
      </c>
      <c r="G435" s="30" t="s">
        <v>1002</v>
      </c>
      <c r="H435" s="30" t="s">
        <v>1003</v>
      </c>
      <c r="I435" s="30" t="n">
        <v>1</v>
      </c>
      <c r="J435" s="30"/>
      <c r="K435" s="30" t="n">
        <v>80</v>
      </c>
      <c r="L435" s="30" t="n">
        <v>7</v>
      </c>
      <c r="M435" s="30" t="s">
        <v>1017</v>
      </c>
      <c r="N435" s="30" t="s">
        <v>54</v>
      </c>
      <c r="O435" s="30"/>
      <c r="P435" s="30"/>
      <c r="Q435" s="30"/>
      <c r="R435" s="30"/>
      <c r="S435" s="30"/>
      <c r="T435" s="30"/>
      <c r="U435" s="30" t="n">
        <v>217.8</v>
      </c>
      <c r="V435" s="30" t="n">
        <v>220.9</v>
      </c>
      <c r="W435" s="30" t="n">
        <v>41.38</v>
      </c>
      <c r="X435" s="30" t="s">
        <v>1005</v>
      </c>
      <c r="Y435" s="30" t="n">
        <v>25.22</v>
      </c>
      <c r="Z435" s="30" t="s">
        <v>1005</v>
      </c>
      <c r="AA435" s="30" t="n">
        <v>35.9</v>
      </c>
      <c r="AB435" s="30" t="s">
        <v>1005</v>
      </c>
      <c r="AC435" s="30" t="n">
        <v>20.21</v>
      </c>
      <c r="AD435" s="30" t="s">
        <v>1005</v>
      </c>
      <c r="AE435" s="30" t="n">
        <v>5.5</v>
      </c>
      <c r="AF435" s="30" t="s">
        <v>1005</v>
      </c>
      <c r="AG435" s="30" t="n">
        <v>0</v>
      </c>
      <c r="AH435" s="30" t="s">
        <v>1006</v>
      </c>
      <c r="AI435" s="30" t="n">
        <v>0</v>
      </c>
      <c r="AJ435" s="30" t="s">
        <v>1006</v>
      </c>
      <c r="AK435" s="30" t="n">
        <v>0</v>
      </c>
      <c r="AL435" s="30" t="s">
        <v>1006</v>
      </c>
      <c r="AM435" s="30" t="n">
        <v>0</v>
      </c>
      <c r="AN435" s="30" t="s">
        <v>1005</v>
      </c>
      <c r="AO435" s="30" t="n">
        <v>16.88</v>
      </c>
      <c r="AP435" s="30" t="s">
        <v>1005</v>
      </c>
      <c r="AQ435" s="30" t="n">
        <v>18.69</v>
      </c>
      <c r="AR435" s="30" t="s">
        <v>1005</v>
      </c>
      <c r="AS435" s="30" t="n">
        <v>22.35</v>
      </c>
      <c r="AT435" s="30" t="s">
        <v>1005</v>
      </c>
      <c r="AU435" s="30" t="n">
        <v>186.13</v>
      </c>
      <c r="AV435" s="30" t="n">
        <v>0.13045</v>
      </c>
      <c r="AW435" s="30" t="s">
        <v>1018</v>
      </c>
      <c r="AX435" s="30" t="s">
        <v>1008</v>
      </c>
      <c r="AY435" s="30" t="n">
        <v>1</v>
      </c>
      <c r="AZ435" s="30"/>
    </row>
    <row collapsed="false" customFormat="true" customHeight="true" hidden="false" ht="33" outlineLevel="0" r="436" s="73">
      <c r="A436" s="30" t="n">
        <v>473</v>
      </c>
      <c r="B436" s="30" t="s">
        <v>665</v>
      </c>
      <c r="C436" s="30" t="s">
        <v>1009</v>
      </c>
      <c r="D436" s="30" t="s">
        <v>999</v>
      </c>
      <c r="E436" s="30" t="s">
        <v>1000</v>
      </c>
      <c r="F436" s="30" t="s">
        <v>1014</v>
      </c>
      <c r="G436" s="30" t="s">
        <v>1002</v>
      </c>
      <c r="H436" s="30" t="s">
        <v>1003</v>
      </c>
      <c r="I436" s="30" t="n">
        <v>1</v>
      </c>
      <c r="J436" s="30"/>
      <c r="K436" s="30" t="n">
        <v>80</v>
      </c>
      <c r="L436" s="30" t="n">
        <v>7</v>
      </c>
      <c r="M436" s="30" t="s">
        <v>1017</v>
      </c>
      <c r="N436" s="30" t="s">
        <v>54</v>
      </c>
      <c r="O436" s="30"/>
      <c r="P436" s="30"/>
      <c r="Q436" s="30"/>
      <c r="R436" s="30"/>
      <c r="S436" s="30"/>
      <c r="T436" s="30"/>
      <c r="U436" s="30" t="n">
        <v>246.24</v>
      </c>
      <c r="V436" s="30" t="n">
        <v>261.03</v>
      </c>
      <c r="W436" s="30" t="n">
        <v>64.22</v>
      </c>
      <c r="X436" s="30" t="s">
        <v>1005</v>
      </c>
      <c r="Y436" s="30" t="n">
        <v>41.71</v>
      </c>
      <c r="Z436" s="30" t="s">
        <v>1005</v>
      </c>
      <c r="AA436" s="30" t="n">
        <v>56.56</v>
      </c>
      <c r="AB436" s="30" t="s">
        <v>1005</v>
      </c>
      <c r="AC436" s="30" t="n">
        <v>25.69</v>
      </c>
      <c r="AD436" s="30" t="s">
        <v>1005</v>
      </c>
      <c r="AE436" s="30" t="n">
        <v>7.2</v>
      </c>
      <c r="AF436" s="30" t="s">
        <v>1005</v>
      </c>
      <c r="AG436" s="30" t="n">
        <v>0</v>
      </c>
      <c r="AH436" s="30" t="s">
        <v>1006</v>
      </c>
      <c r="AI436" s="30" t="n">
        <v>0</v>
      </c>
      <c r="AJ436" s="30" t="s">
        <v>1006</v>
      </c>
      <c r="AK436" s="30" t="n">
        <v>0</v>
      </c>
      <c r="AL436" s="30" t="s">
        <v>1006</v>
      </c>
      <c r="AM436" s="30" t="n">
        <v>0</v>
      </c>
      <c r="AN436" s="30" t="s">
        <v>1005</v>
      </c>
      <c r="AO436" s="30" t="n">
        <v>17.62</v>
      </c>
      <c r="AP436" s="30" t="s">
        <v>1005</v>
      </c>
      <c r="AQ436" s="30" t="n">
        <v>23.93</v>
      </c>
      <c r="AR436" s="30" t="s">
        <v>1005</v>
      </c>
      <c r="AS436" s="30" t="n">
        <v>30.12</v>
      </c>
      <c r="AT436" s="30" t="s">
        <v>1005</v>
      </c>
      <c r="AU436" s="30" t="n">
        <v>267.05</v>
      </c>
      <c r="AV436" s="30" t="n">
        <v>0.13747</v>
      </c>
      <c r="AW436" s="30" t="s">
        <v>1018</v>
      </c>
      <c r="AX436" s="30" t="s">
        <v>1008</v>
      </c>
      <c r="AY436" s="30" t="n">
        <v>1</v>
      </c>
      <c r="AZ436" s="30"/>
    </row>
    <row collapsed="false" customFormat="true" customHeight="true" hidden="false" ht="33" outlineLevel="0" r="437" s="73">
      <c r="A437" s="30" t="n">
        <v>474</v>
      </c>
      <c r="B437" s="30" t="s">
        <v>666</v>
      </c>
      <c r="C437" s="30" t="s">
        <v>1009</v>
      </c>
      <c r="D437" s="30" t="s">
        <v>999</v>
      </c>
      <c r="E437" s="30" t="s">
        <v>1000</v>
      </c>
      <c r="F437" s="30" t="s">
        <v>1014</v>
      </c>
      <c r="G437" s="30" t="s">
        <v>1002</v>
      </c>
      <c r="H437" s="30" t="s">
        <v>1003</v>
      </c>
      <c r="I437" s="30" t="n">
        <v>1</v>
      </c>
      <c r="J437" s="30"/>
      <c r="K437" s="30" t="n">
        <v>80</v>
      </c>
      <c r="L437" s="30" t="n">
        <v>7</v>
      </c>
      <c r="M437" s="30" t="s">
        <v>1017</v>
      </c>
      <c r="N437" s="30" t="s">
        <v>54</v>
      </c>
      <c r="O437" s="30"/>
      <c r="P437" s="30"/>
      <c r="Q437" s="30"/>
      <c r="R437" s="30"/>
      <c r="S437" s="30"/>
      <c r="T437" s="30"/>
      <c r="U437" s="30" t="n">
        <v>208.94</v>
      </c>
      <c r="V437" s="30" t="n">
        <v>202.87</v>
      </c>
      <c r="W437" s="30" t="n">
        <v>59.83</v>
      </c>
      <c r="X437" s="30" t="s">
        <v>1005</v>
      </c>
      <c r="Y437" s="30" t="n">
        <v>37.6</v>
      </c>
      <c r="Z437" s="30" t="s">
        <v>1005</v>
      </c>
      <c r="AA437" s="30" t="n">
        <v>52.15</v>
      </c>
      <c r="AB437" s="30" t="s">
        <v>1005</v>
      </c>
      <c r="AC437" s="30" t="n">
        <v>23.46</v>
      </c>
      <c r="AD437" s="30" t="s">
        <v>1005</v>
      </c>
      <c r="AE437" s="30" t="n">
        <v>7.27</v>
      </c>
      <c r="AF437" s="30" t="s">
        <v>1005</v>
      </c>
      <c r="AG437" s="30" t="n">
        <v>0</v>
      </c>
      <c r="AH437" s="30" t="s">
        <v>1006</v>
      </c>
      <c r="AI437" s="30" t="n">
        <v>0</v>
      </c>
      <c r="AJ437" s="30" t="s">
        <v>1006</v>
      </c>
      <c r="AK437" s="30" t="n">
        <v>0</v>
      </c>
      <c r="AL437" s="30" t="s">
        <v>1006</v>
      </c>
      <c r="AM437" s="30" t="n">
        <v>0</v>
      </c>
      <c r="AN437" s="30" t="s">
        <v>1005</v>
      </c>
      <c r="AO437" s="30" t="n">
        <v>23.28</v>
      </c>
      <c r="AP437" s="30" t="s">
        <v>1005</v>
      </c>
      <c r="AQ437" s="30" t="n">
        <v>23.27</v>
      </c>
      <c r="AR437" s="30" t="s">
        <v>1005</v>
      </c>
      <c r="AS437" s="30" t="n">
        <v>29.93</v>
      </c>
      <c r="AT437" s="30" t="s">
        <v>1005</v>
      </c>
      <c r="AU437" s="30" t="n">
        <v>256.79</v>
      </c>
      <c r="AV437" s="30"/>
      <c r="AW437" s="30" t="s">
        <v>1018</v>
      </c>
      <c r="AX437" s="30" t="s">
        <v>1008</v>
      </c>
      <c r="AY437" s="30" t="n">
        <v>1</v>
      </c>
      <c r="AZ437" s="30"/>
    </row>
    <row collapsed="false" customFormat="true" customHeight="true" hidden="false" ht="33" outlineLevel="0" r="438" s="73">
      <c r="A438" s="30" t="n">
        <v>475</v>
      </c>
      <c r="B438" s="30" t="s">
        <v>667</v>
      </c>
      <c r="C438" s="30" t="s">
        <v>1009</v>
      </c>
      <c r="D438" s="30" t="s">
        <v>999</v>
      </c>
      <c r="E438" s="30" t="s">
        <v>1000</v>
      </c>
      <c r="F438" s="30" t="s">
        <v>1014</v>
      </c>
      <c r="G438" s="30" t="s">
        <v>1002</v>
      </c>
      <c r="H438" s="30" t="s">
        <v>1003</v>
      </c>
      <c r="I438" s="30" t="n">
        <v>1</v>
      </c>
      <c r="J438" s="30"/>
      <c r="K438" s="30" t="n">
        <v>80</v>
      </c>
      <c r="L438" s="30" t="n">
        <v>7</v>
      </c>
      <c r="M438" s="30" t="s">
        <v>1017</v>
      </c>
      <c r="N438" s="30" t="s">
        <v>54</v>
      </c>
      <c r="O438" s="30"/>
      <c r="P438" s="30"/>
      <c r="Q438" s="30"/>
      <c r="R438" s="30"/>
      <c r="S438" s="30"/>
      <c r="T438" s="30"/>
      <c r="U438" s="30" t="n">
        <v>405.04</v>
      </c>
      <c r="V438" s="30" t="n">
        <v>406.41</v>
      </c>
      <c r="W438" s="30" t="n">
        <v>74.81</v>
      </c>
      <c r="X438" s="30" t="s">
        <v>1005</v>
      </c>
      <c r="Y438" s="30" t="n">
        <v>56.2</v>
      </c>
      <c r="Z438" s="30" t="s">
        <v>1005</v>
      </c>
      <c r="AA438" s="30" t="n">
        <v>69.71</v>
      </c>
      <c r="AB438" s="30" t="s">
        <v>1005</v>
      </c>
      <c r="AC438" s="30" t="n">
        <v>38.05</v>
      </c>
      <c r="AD438" s="30" t="s">
        <v>1005</v>
      </c>
      <c r="AE438" s="30" t="n">
        <v>8.67</v>
      </c>
      <c r="AF438" s="30" t="s">
        <v>1005</v>
      </c>
      <c r="AG438" s="30" t="n">
        <v>0</v>
      </c>
      <c r="AH438" s="30" t="s">
        <v>1006</v>
      </c>
      <c r="AI438" s="30" t="n">
        <v>0</v>
      </c>
      <c r="AJ438" s="30" t="s">
        <v>1006</v>
      </c>
      <c r="AK438" s="30" t="n">
        <v>0</v>
      </c>
      <c r="AL438" s="30" t="s">
        <v>1006</v>
      </c>
      <c r="AM438" s="30" t="n">
        <v>0</v>
      </c>
      <c r="AN438" s="30" t="s">
        <v>1005</v>
      </c>
      <c r="AO438" s="30" t="n">
        <v>13.14</v>
      </c>
      <c r="AP438" s="30" t="s">
        <v>1005</v>
      </c>
      <c r="AQ438" s="30" t="n">
        <v>14.95</v>
      </c>
      <c r="AR438" s="30" t="s">
        <v>1005</v>
      </c>
      <c r="AS438" s="30" t="n">
        <v>50.87</v>
      </c>
      <c r="AT438" s="30" t="s">
        <v>1005</v>
      </c>
      <c r="AU438" s="30" t="n">
        <v>326.4</v>
      </c>
      <c r="AV438" s="30"/>
      <c r="AW438" s="30" t="s">
        <v>1018</v>
      </c>
      <c r="AX438" s="30" t="s">
        <v>1008</v>
      </c>
      <c r="AY438" s="30" t="n">
        <v>1</v>
      </c>
      <c r="AZ438" s="30"/>
    </row>
    <row collapsed="false" customFormat="true" customHeight="true" hidden="false" ht="33" outlineLevel="0" r="439" s="73">
      <c r="A439" s="30" t="n">
        <v>476</v>
      </c>
      <c r="B439" s="30" t="s">
        <v>668</v>
      </c>
      <c r="C439" s="30" t="s">
        <v>1009</v>
      </c>
      <c r="D439" s="30" t="s">
        <v>999</v>
      </c>
      <c r="E439" s="30" t="s">
        <v>1000</v>
      </c>
      <c r="F439" s="30" t="s">
        <v>1014</v>
      </c>
      <c r="G439" s="30" t="s">
        <v>1002</v>
      </c>
      <c r="H439" s="30" t="s">
        <v>1003</v>
      </c>
      <c r="I439" s="30" t="n">
        <v>1</v>
      </c>
      <c r="J439" s="30"/>
      <c r="K439" s="30" t="n">
        <v>80</v>
      </c>
      <c r="L439" s="30" t="n">
        <v>7</v>
      </c>
      <c r="M439" s="30" t="s">
        <v>1017</v>
      </c>
      <c r="N439" s="30" t="s">
        <v>54</v>
      </c>
      <c r="O439" s="30"/>
      <c r="P439" s="30"/>
      <c r="Q439" s="30"/>
      <c r="R439" s="30"/>
      <c r="S439" s="30"/>
      <c r="T439" s="30"/>
      <c r="U439" s="30" t="n">
        <v>189.01</v>
      </c>
      <c r="V439" s="30" t="n">
        <v>212.55</v>
      </c>
      <c r="W439" s="30" t="n">
        <v>40.41</v>
      </c>
      <c r="X439" s="30" t="s">
        <v>1005</v>
      </c>
      <c r="Y439" s="30" t="n">
        <v>30.13</v>
      </c>
      <c r="Z439" s="30" t="s">
        <v>1005</v>
      </c>
      <c r="AA439" s="30" t="n">
        <v>36.45</v>
      </c>
      <c r="AB439" s="30" t="s">
        <v>1005</v>
      </c>
      <c r="AC439" s="30" t="n">
        <v>18.96</v>
      </c>
      <c r="AD439" s="30" t="s">
        <v>1005</v>
      </c>
      <c r="AE439" s="30" t="n">
        <v>4.45</v>
      </c>
      <c r="AF439" s="30" t="s">
        <v>1005</v>
      </c>
      <c r="AG439" s="30" t="n">
        <v>0</v>
      </c>
      <c r="AH439" s="30" t="s">
        <v>1006</v>
      </c>
      <c r="AI439" s="30" t="n">
        <v>0</v>
      </c>
      <c r="AJ439" s="30" t="s">
        <v>1006</v>
      </c>
      <c r="AK439" s="30" t="n">
        <v>0</v>
      </c>
      <c r="AL439" s="30" t="s">
        <v>1006</v>
      </c>
      <c r="AM439" s="30" t="n">
        <v>0</v>
      </c>
      <c r="AN439" s="30" t="s">
        <v>1005</v>
      </c>
      <c r="AO439" s="30" t="n">
        <v>14.26</v>
      </c>
      <c r="AP439" s="30" t="s">
        <v>1005</v>
      </c>
      <c r="AQ439" s="30" t="n">
        <v>15.21</v>
      </c>
      <c r="AR439" s="30" t="s">
        <v>1005</v>
      </c>
      <c r="AS439" s="30" t="n">
        <v>21.45</v>
      </c>
      <c r="AT439" s="30" t="s">
        <v>1005</v>
      </c>
      <c r="AU439" s="30" t="n">
        <v>181.32</v>
      </c>
      <c r="AV439" s="30" t="n">
        <v>0.12543</v>
      </c>
      <c r="AW439" s="30" t="s">
        <v>1018</v>
      </c>
      <c r="AX439" s="30" t="s">
        <v>1008</v>
      </c>
      <c r="AY439" s="30" t="n">
        <v>1</v>
      </c>
      <c r="AZ439" s="30"/>
    </row>
    <row collapsed="false" customFormat="true" customHeight="true" hidden="false" ht="33" outlineLevel="0" r="440" s="73">
      <c r="A440" s="30" t="n">
        <v>477</v>
      </c>
      <c r="B440" s="30" t="s">
        <v>669</v>
      </c>
      <c r="C440" s="30" t="s">
        <v>1009</v>
      </c>
      <c r="D440" s="30" t="s">
        <v>999</v>
      </c>
      <c r="E440" s="30" t="s">
        <v>1000</v>
      </c>
      <c r="F440" s="30" t="s">
        <v>1014</v>
      </c>
      <c r="G440" s="30" t="s">
        <v>1002</v>
      </c>
      <c r="H440" s="30" t="s">
        <v>1003</v>
      </c>
      <c r="I440" s="30" t="n">
        <v>1</v>
      </c>
      <c r="J440" s="30"/>
      <c r="K440" s="30" t="n">
        <v>100</v>
      </c>
      <c r="L440" s="30" t="n">
        <v>14</v>
      </c>
      <c r="M440" s="30" t="s">
        <v>1004</v>
      </c>
      <c r="N440" s="30" t="s">
        <v>54</v>
      </c>
      <c r="O440" s="30"/>
      <c r="P440" s="30"/>
      <c r="Q440" s="30"/>
      <c r="R440" s="30"/>
      <c r="S440" s="30"/>
      <c r="T440" s="30"/>
      <c r="U440" s="30" t="n">
        <v>868.43</v>
      </c>
      <c r="V440" s="30" t="n">
        <v>869.63</v>
      </c>
      <c r="W440" s="30" t="n">
        <v>160.7</v>
      </c>
      <c r="X440" s="30" t="s">
        <v>1005</v>
      </c>
      <c r="Y440" s="30" t="n">
        <v>117.54</v>
      </c>
      <c r="Z440" s="30" t="s">
        <v>1005</v>
      </c>
      <c r="AA440" s="30" t="n">
        <v>129.9</v>
      </c>
      <c r="AB440" s="30" t="s">
        <v>1005</v>
      </c>
      <c r="AC440" s="30" t="n">
        <v>44.08</v>
      </c>
      <c r="AD440" s="30" t="s">
        <v>1005</v>
      </c>
      <c r="AE440" s="30" t="n">
        <v>29.18</v>
      </c>
      <c r="AF440" s="30" t="s">
        <v>1005</v>
      </c>
      <c r="AG440" s="30" t="n">
        <v>0</v>
      </c>
      <c r="AH440" s="30" t="s">
        <v>1006</v>
      </c>
      <c r="AI440" s="30" t="n">
        <v>0</v>
      </c>
      <c r="AJ440" s="30" t="s">
        <v>1006</v>
      </c>
      <c r="AK440" s="30" t="n">
        <v>0</v>
      </c>
      <c r="AL440" s="30" t="s">
        <v>1006</v>
      </c>
      <c r="AM440" s="30" t="n">
        <v>0</v>
      </c>
      <c r="AN440" s="30" t="s">
        <v>1005</v>
      </c>
      <c r="AO440" s="30" t="n">
        <v>69.83</v>
      </c>
      <c r="AP440" s="30" t="s">
        <v>1005</v>
      </c>
      <c r="AQ440" s="30" t="n">
        <v>71.18</v>
      </c>
      <c r="AR440" s="30" t="s">
        <v>1005</v>
      </c>
      <c r="AS440" s="30" t="n">
        <v>102.01</v>
      </c>
      <c r="AT440" s="30" t="s">
        <v>1005</v>
      </c>
      <c r="AU440" s="30" t="n">
        <v>724.42</v>
      </c>
      <c r="AV440" s="30" t="n">
        <v>0.38933</v>
      </c>
      <c r="AW440" s="30" t="s">
        <v>1007</v>
      </c>
      <c r="AX440" s="30" t="s">
        <v>1008</v>
      </c>
      <c r="AY440" s="30" t="n">
        <v>1</v>
      </c>
      <c r="AZ440" s="30"/>
    </row>
    <row collapsed="false" customFormat="true" customHeight="true" hidden="false" ht="33" outlineLevel="0" r="441" s="73">
      <c r="A441" s="30" t="n">
        <v>478</v>
      </c>
      <c r="B441" s="30" t="s">
        <v>670</v>
      </c>
      <c r="C441" s="30" t="s">
        <v>1009</v>
      </c>
      <c r="D441" s="30" t="s">
        <v>999</v>
      </c>
      <c r="E441" s="30" t="s">
        <v>1000</v>
      </c>
      <c r="F441" s="30" t="s">
        <v>1014</v>
      </c>
      <c r="G441" s="30" t="s">
        <v>1002</v>
      </c>
      <c r="H441" s="30" t="s">
        <v>1003</v>
      </c>
      <c r="I441" s="30" t="n">
        <v>1</v>
      </c>
      <c r="J441" s="30"/>
      <c r="K441" s="30" t="n">
        <v>80</v>
      </c>
      <c r="L441" s="30" t="n">
        <v>15</v>
      </c>
      <c r="M441" s="30" t="s">
        <v>1004</v>
      </c>
      <c r="N441" s="30" t="s">
        <v>53</v>
      </c>
      <c r="O441" s="30"/>
      <c r="P441" s="30"/>
      <c r="Q441" s="30"/>
      <c r="R441" s="30"/>
      <c r="S441" s="30"/>
      <c r="T441" s="30"/>
      <c r="U441" s="30" t="n">
        <v>624.62</v>
      </c>
      <c r="V441" s="30" t="n">
        <v>695.18</v>
      </c>
      <c r="W441" s="30" t="n">
        <v>124.18</v>
      </c>
      <c r="X441" s="30" t="s">
        <v>1005</v>
      </c>
      <c r="Y441" s="30" t="n">
        <v>100.17</v>
      </c>
      <c r="Z441" s="30" t="s">
        <v>1005</v>
      </c>
      <c r="AA441" s="30" t="n">
        <v>111.92</v>
      </c>
      <c r="AB441" s="30" t="s">
        <v>1005</v>
      </c>
      <c r="AC441" s="30" t="n">
        <v>38.39</v>
      </c>
      <c r="AD441" s="30" t="s">
        <v>1005</v>
      </c>
      <c r="AE441" s="30" t="n">
        <v>25.81</v>
      </c>
      <c r="AF441" s="30" t="s">
        <v>1005</v>
      </c>
      <c r="AG441" s="30" t="n">
        <v>0</v>
      </c>
      <c r="AH441" s="30" t="s">
        <v>1006</v>
      </c>
      <c r="AI441" s="30" t="n">
        <v>0</v>
      </c>
      <c r="AJ441" s="30" t="s">
        <v>1006</v>
      </c>
      <c r="AK441" s="30" t="n">
        <v>0</v>
      </c>
      <c r="AL441" s="30" t="s">
        <v>1006</v>
      </c>
      <c r="AM441" s="30" t="n">
        <v>0</v>
      </c>
      <c r="AN441" s="30" t="s">
        <v>1005</v>
      </c>
      <c r="AO441" s="30" t="n">
        <v>55.78</v>
      </c>
      <c r="AP441" s="30" t="s">
        <v>1005</v>
      </c>
      <c r="AQ441" s="30" t="n">
        <v>62.51</v>
      </c>
      <c r="AR441" s="30" t="s">
        <v>1005</v>
      </c>
      <c r="AS441" s="30" t="n">
        <v>82.08</v>
      </c>
      <c r="AT441" s="30" t="s">
        <v>1005</v>
      </c>
      <c r="AU441" s="30" t="n">
        <v>600.84</v>
      </c>
      <c r="AV441" s="30" t="n">
        <v>0.24082</v>
      </c>
      <c r="AW441" s="30" t="s">
        <v>1007</v>
      </c>
      <c r="AX441" s="30" t="s">
        <v>1008</v>
      </c>
      <c r="AY441" s="30" t="n">
        <v>1</v>
      </c>
      <c r="AZ441" s="30"/>
    </row>
    <row collapsed="false" customFormat="true" customHeight="true" hidden="false" ht="33" outlineLevel="0" r="442" s="73">
      <c r="A442" s="30" t="n">
        <v>479</v>
      </c>
      <c r="B442" s="30" t="s">
        <v>671</v>
      </c>
      <c r="C442" s="30" t="s">
        <v>1009</v>
      </c>
      <c r="D442" s="30" t="s">
        <v>999</v>
      </c>
      <c r="E442" s="30" t="s">
        <v>1000</v>
      </c>
      <c r="F442" s="30" t="s">
        <v>1014</v>
      </c>
      <c r="G442" s="30" t="s">
        <v>1002</v>
      </c>
      <c r="H442" s="30" t="s">
        <v>1003</v>
      </c>
      <c r="I442" s="30" t="n">
        <v>1</v>
      </c>
      <c r="J442" s="30"/>
      <c r="K442" s="30" t="n">
        <v>100</v>
      </c>
      <c r="L442" s="30" t="n">
        <v>9</v>
      </c>
      <c r="M442" s="30" t="s">
        <v>1004</v>
      </c>
      <c r="N442" s="30" t="s">
        <v>54</v>
      </c>
      <c r="O442" s="30"/>
      <c r="P442" s="30"/>
      <c r="Q442" s="30"/>
      <c r="R442" s="30"/>
      <c r="S442" s="30"/>
      <c r="T442" s="30"/>
      <c r="U442" s="30" t="n">
        <v>624.65</v>
      </c>
      <c r="V442" s="30" t="n">
        <v>601.86</v>
      </c>
      <c r="W442" s="30" t="n">
        <v>162.61</v>
      </c>
      <c r="X442" s="30" t="s">
        <v>1005</v>
      </c>
      <c r="Y442" s="30" t="n">
        <v>132.35</v>
      </c>
      <c r="Z442" s="30" t="s">
        <v>1005</v>
      </c>
      <c r="AA442" s="30" t="n">
        <v>145.46</v>
      </c>
      <c r="AB442" s="30" t="s">
        <v>1005</v>
      </c>
      <c r="AC442" s="30" t="n">
        <v>49.75</v>
      </c>
      <c r="AD442" s="30" t="s">
        <v>1005</v>
      </c>
      <c r="AE442" s="30" t="n">
        <v>32.85</v>
      </c>
      <c r="AF442" s="30" t="s">
        <v>1005</v>
      </c>
      <c r="AG442" s="30" t="n">
        <v>0</v>
      </c>
      <c r="AH442" s="30" t="s">
        <v>1006</v>
      </c>
      <c r="AI442" s="30" t="n">
        <v>0</v>
      </c>
      <c r="AJ442" s="30" t="s">
        <v>1006</v>
      </c>
      <c r="AK442" s="30" t="n">
        <v>0</v>
      </c>
      <c r="AL442" s="30" t="s">
        <v>1006</v>
      </c>
      <c r="AM442" s="30" t="n">
        <v>0</v>
      </c>
      <c r="AN442" s="30" t="s">
        <v>1005</v>
      </c>
      <c r="AO442" s="30" t="n">
        <v>66.66</v>
      </c>
      <c r="AP442" s="30" t="s">
        <v>1005</v>
      </c>
      <c r="AQ442" s="30" t="n">
        <v>79.67</v>
      </c>
      <c r="AR442" s="30" t="s">
        <v>1005</v>
      </c>
      <c r="AS442" s="30" t="n">
        <v>104.76</v>
      </c>
      <c r="AT442" s="30" t="s">
        <v>1005</v>
      </c>
      <c r="AU442" s="30" t="n">
        <v>774.11</v>
      </c>
      <c r="AV442" s="30" t="n">
        <v>0.07506</v>
      </c>
      <c r="AW442" s="30" t="s">
        <v>1007</v>
      </c>
      <c r="AX442" s="30" t="s">
        <v>1008</v>
      </c>
      <c r="AY442" s="30" t="n">
        <v>1</v>
      </c>
      <c r="AZ442" s="30"/>
    </row>
    <row collapsed="false" customFormat="true" customHeight="true" hidden="false" ht="33" outlineLevel="0" r="443" s="73">
      <c r="A443" s="30" t="n">
        <v>480</v>
      </c>
      <c r="B443" s="30" t="s">
        <v>672</v>
      </c>
      <c r="C443" s="30" t="s">
        <v>1009</v>
      </c>
      <c r="D443" s="30" t="s">
        <v>999</v>
      </c>
      <c r="E443" s="30" t="s">
        <v>1000</v>
      </c>
      <c r="F443" s="30" t="s">
        <v>1014</v>
      </c>
      <c r="G443" s="30" t="s">
        <v>1002</v>
      </c>
      <c r="H443" s="30" t="s">
        <v>1003</v>
      </c>
      <c r="I443" s="30" t="n">
        <v>1</v>
      </c>
      <c r="J443" s="30"/>
      <c r="K443" s="30" t="n">
        <v>100</v>
      </c>
      <c r="L443" s="30" t="n">
        <v>8</v>
      </c>
      <c r="M443" s="30" t="s">
        <v>1004</v>
      </c>
      <c r="N443" s="30" t="s">
        <v>54</v>
      </c>
      <c r="O443" s="30"/>
      <c r="P443" s="30"/>
      <c r="Q443" s="30"/>
      <c r="R443" s="30"/>
      <c r="S443" s="30"/>
      <c r="T443" s="30"/>
      <c r="U443" s="30" t="n">
        <v>822.16</v>
      </c>
      <c r="V443" s="30" t="n">
        <v>851.47</v>
      </c>
      <c r="W443" s="30" t="n">
        <v>159.73</v>
      </c>
      <c r="X443" s="30" t="s">
        <v>1005</v>
      </c>
      <c r="Y443" s="30" t="n">
        <v>129.41</v>
      </c>
      <c r="Z443" s="30" t="s">
        <v>1005</v>
      </c>
      <c r="AA443" s="30" t="n">
        <v>144.77</v>
      </c>
      <c r="AB443" s="30" t="s">
        <v>1005</v>
      </c>
      <c r="AC443" s="30" t="n">
        <v>50.94</v>
      </c>
      <c r="AD443" s="30" t="s">
        <v>1005</v>
      </c>
      <c r="AE443" s="30" t="n">
        <v>32.5</v>
      </c>
      <c r="AF443" s="30" t="s">
        <v>1005</v>
      </c>
      <c r="AG443" s="30" t="n">
        <v>0</v>
      </c>
      <c r="AH443" s="30" t="s">
        <v>1006</v>
      </c>
      <c r="AI443" s="30" t="n">
        <v>0</v>
      </c>
      <c r="AJ443" s="30" t="s">
        <v>1006</v>
      </c>
      <c r="AK443" s="30" t="n">
        <v>0</v>
      </c>
      <c r="AL443" s="30" t="s">
        <v>1006</v>
      </c>
      <c r="AM443" s="30" t="n">
        <v>0</v>
      </c>
      <c r="AN443" s="30" t="s">
        <v>1005</v>
      </c>
      <c r="AO443" s="30" t="n">
        <v>69.06</v>
      </c>
      <c r="AP443" s="30" t="s">
        <v>1005</v>
      </c>
      <c r="AQ443" s="30" t="n">
        <v>79.47</v>
      </c>
      <c r="AR443" s="30" t="s">
        <v>1005</v>
      </c>
      <c r="AS443" s="30" t="n">
        <v>101.91</v>
      </c>
      <c r="AT443" s="30" t="s">
        <v>1005</v>
      </c>
      <c r="AU443" s="30" t="n">
        <v>767.79</v>
      </c>
      <c r="AV443" s="30" t="n">
        <v>0.27795</v>
      </c>
      <c r="AW443" s="30" t="s">
        <v>1007</v>
      </c>
      <c r="AX443" s="30" t="s">
        <v>1008</v>
      </c>
      <c r="AY443" s="30" t="n">
        <v>1</v>
      </c>
      <c r="AZ443" s="30"/>
    </row>
    <row collapsed="false" customFormat="true" customHeight="true" hidden="false" ht="33" outlineLevel="0" r="444" s="73">
      <c r="A444" s="30" t="n">
        <v>481</v>
      </c>
      <c r="B444" s="30" t="s">
        <v>673</v>
      </c>
      <c r="C444" s="30" t="s">
        <v>1009</v>
      </c>
      <c r="D444" s="30" t="s">
        <v>999</v>
      </c>
      <c r="E444" s="30" t="s">
        <v>1000</v>
      </c>
      <c r="F444" s="30" t="s">
        <v>1014</v>
      </c>
      <c r="G444" s="30" t="s">
        <v>1002</v>
      </c>
      <c r="H444" s="30" t="s">
        <v>1003</v>
      </c>
      <c r="I444" s="30" t="n">
        <v>1</v>
      </c>
      <c r="J444" s="30"/>
      <c r="K444" s="30" t="n">
        <v>65</v>
      </c>
      <c r="L444" s="30" t="n">
        <v>6</v>
      </c>
      <c r="M444" s="30" t="s">
        <v>1004</v>
      </c>
      <c r="N444" s="30" t="s">
        <v>54</v>
      </c>
      <c r="O444" s="30"/>
      <c r="P444" s="30"/>
      <c r="Q444" s="30"/>
      <c r="R444" s="30"/>
      <c r="S444" s="30"/>
      <c r="T444" s="30"/>
      <c r="U444" s="30" t="n">
        <v>395.35</v>
      </c>
      <c r="V444" s="30" t="n">
        <v>299.3</v>
      </c>
      <c r="W444" s="30" t="n">
        <v>56.53</v>
      </c>
      <c r="X444" s="30" t="s">
        <v>1005</v>
      </c>
      <c r="Y444" s="30" t="n">
        <v>46.37</v>
      </c>
      <c r="Z444" s="30" t="s">
        <v>1005</v>
      </c>
      <c r="AA444" s="30" t="n">
        <v>51.4</v>
      </c>
      <c r="AB444" s="30" t="s">
        <v>1005</v>
      </c>
      <c r="AC444" s="30" t="n">
        <v>18.11</v>
      </c>
      <c r="AD444" s="30" t="s">
        <v>1005</v>
      </c>
      <c r="AE444" s="30" t="n">
        <v>11.65</v>
      </c>
      <c r="AF444" s="30" t="s">
        <v>1005</v>
      </c>
      <c r="AG444" s="30" t="n">
        <v>0</v>
      </c>
      <c r="AH444" s="30" t="s">
        <v>1006</v>
      </c>
      <c r="AI444" s="30" t="n">
        <v>0</v>
      </c>
      <c r="AJ444" s="30" t="s">
        <v>1006</v>
      </c>
      <c r="AK444" s="30" t="n">
        <v>0</v>
      </c>
      <c r="AL444" s="30" t="s">
        <v>1006</v>
      </c>
      <c r="AM444" s="30" t="n">
        <v>0</v>
      </c>
      <c r="AN444" s="30" t="s">
        <v>1005</v>
      </c>
      <c r="AO444" s="30" t="n">
        <v>24.25</v>
      </c>
      <c r="AP444" s="30" t="s">
        <v>1005</v>
      </c>
      <c r="AQ444" s="30" t="n">
        <v>27.24</v>
      </c>
      <c r="AR444" s="30" t="s">
        <v>1005</v>
      </c>
      <c r="AS444" s="30" t="n">
        <v>35.73</v>
      </c>
      <c r="AT444" s="30" t="s">
        <v>1005</v>
      </c>
      <c r="AU444" s="30" t="n">
        <v>271.28</v>
      </c>
      <c r="AV444" s="30" t="n">
        <v>0.38833</v>
      </c>
      <c r="AW444" s="30" t="s">
        <v>1007</v>
      </c>
      <c r="AX444" s="30" t="s">
        <v>1008</v>
      </c>
      <c r="AY444" s="30" t="n">
        <v>1</v>
      </c>
      <c r="AZ444" s="30"/>
    </row>
    <row collapsed="false" customFormat="true" customHeight="true" hidden="false" ht="33" outlineLevel="0" r="445" s="73">
      <c r="A445" s="30" t="n">
        <v>482</v>
      </c>
      <c r="B445" s="30" t="s">
        <v>675</v>
      </c>
      <c r="C445" s="30" t="s">
        <v>1009</v>
      </c>
      <c r="D445" s="30" t="s">
        <v>999</v>
      </c>
      <c r="E445" s="30" t="s">
        <v>1000</v>
      </c>
      <c r="F445" s="30" t="s">
        <v>1014</v>
      </c>
      <c r="G445" s="30" t="s">
        <v>1002</v>
      </c>
      <c r="H445" s="30" t="s">
        <v>1003</v>
      </c>
      <c r="I445" s="30" t="n">
        <v>1</v>
      </c>
      <c r="J445" s="30"/>
      <c r="K445" s="30" t="n">
        <v>65</v>
      </c>
      <c r="L445" s="30" t="n">
        <v>6</v>
      </c>
      <c r="M445" s="30" t="s">
        <v>1004</v>
      </c>
      <c r="N445" s="30" t="s">
        <v>54</v>
      </c>
      <c r="O445" s="30"/>
      <c r="P445" s="30"/>
      <c r="Q445" s="30"/>
      <c r="R445" s="30"/>
      <c r="S445" s="30"/>
      <c r="T445" s="30"/>
      <c r="U445" s="30" t="n">
        <v>342.19</v>
      </c>
      <c r="V445" s="30" t="n">
        <v>330.42</v>
      </c>
      <c r="W445" s="30" t="n">
        <v>60.05</v>
      </c>
      <c r="X445" s="30" t="s">
        <v>1005</v>
      </c>
      <c r="Y445" s="30" t="n">
        <v>48.56</v>
      </c>
      <c r="Z445" s="30" t="s">
        <v>1005</v>
      </c>
      <c r="AA445" s="30" t="n">
        <v>54.58</v>
      </c>
      <c r="AB445" s="30" t="s">
        <v>1005</v>
      </c>
      <c r="AC445" s="30" t="n">
        <v>19.17</v>
      </c>
      <c r="AD445" s="30" t="s">
        <v>1005</v>
      </c>
      <c r="AE445" s="30" t="n">
        <v>12.29</v>
      </c>
      <c r="AF445" s="30" t="s">
        <v>1005</v>
      </c>
      <c r="AG445" s="30" t="n">
        <v>0</v>
      </c>
      <c r="AH445" s="30" t="s">
        <v>1006</v>
      </c>
      <c r="AI445" s="30" t="n">
        <v>0</v>
      </c>
      <c r="AJ445" s="30" t="s">
        <v>1006</v>
      </c>
      <c r="AK445" s="30" t="n">
        <v>0</v>
      </c>
      <c r="AL445" s="30" t="s">
        <v>1006</v>
      </c>
      <c r="AM445" s="30" t="n">
        <v>0</v>
      </c>
      <c r="AN445" s="30" t="s">
        <v>1005</v>
      </c>
      <c r="AO445" s="30" t="n">
        <v>24.25</v>
      </c>
      <c r="AP445" s="30" t="s">
        <v>1005</v>
      </c>
      <c r="AQ445" s="30" t="n">
        <v>28.16</v>
      </c>
      <c r="AR445" s="30" t="s">
        <v>1005</v>
      </c>
      <c r="AS445" s="30" t="n">
        <v>30.6</v>
      </c>
      <c r="AT445" s="30" t="s">
        <v>1005</v>
      </c>
      <c r="AU445" s="30" t="n">
        <v>277.66</v>
      </c>
      <c r="AV445" s="30" t="n">
        <v>0.14352</v>
      </c>
      <c r="AW445" s="30" t="s">
        <v>1007</v>
      </c>
      <c r="AX445" s="30" t="s">
        <v>1008</v>
      </c>
      <c r="AY445" s="30" t="n">
        <v>1</v>
      </c>
      <c r="AZ445" s="30"/>
    </row>
    <row collapsed="false" customFormat="true" customHeight="true" hidden="false" ht="33" outlineLevel="0" r="446" s="73">
      <c r="A446" s="30" t="n">
        <v>483</v>
      </c>
      <c r="B446" s="30" t="s">
        <v>677</v>
      </c>
      <c r="C446" s="30" t="s">
        <v>1009</v>
      </c>
      <c r="D446" s="30" t="s">
        <v>999</v>
      </c>
      <c r="E446" s="30" t="s">
        <v>1010</v>
      </c>
      <c r="F446" s="30" t="s">
        <v>1001</v>
      </c>
      <c r="G446" s="30" t="s">
        <v>1002</v>
      </c>
      <c r="H446" s="30" t="s">
        <v>1003</v>
      </c>
      <c r="I446" s="30" t="n">
        <v>0</v>
      </c>
      <c r="J446" s="30"/>
      <c r="K446" s="30" t="n">
        <v>50</v>
      </c>
      <c r="L446" s="30" t="n">
        <v>5.5</v>
      </c>
      <c r="M446" s="30" t="s">
        <v>1004</v>
      </c>
      <c r="N446" s="30" t="s">
        <v>54</v>
      </c>
      <c r="O446" s="30"/>
      <c r="P446" s="30"/>
      <c r="Q446" s="30"/>
      <c r="R446" s="30"/>
      <c r="S446" s="30"/>
      <c r="T446" s="30"/>
      <c r="U446" s="30" t="n">
        <v>306.15</v>
      </c>
      <c r="V446" s="30" t="n">
        <v>305.91</v>
      </c>
      <c r="W446" s="30" t="n">
        <v>25.53</v>
      </c>
      <c r="X446" s="30" t="s">
        <v>1006</v>
      </c>
      <c r="Y446" s="30" t="n">
        <v>25.53</v>
      </c>
      <c r="Z446" s="30" t="s">
        <v>1006</v>
      </c>
      <c r="AA446" s="30" t="n">
        <v>25.53</v>
      </c>
      <c r="AB446" s="30" t="s">
        <v>1006</v>
      </c>
      <c r="AC446" s="30" t="n">
        <v>25.53</v>
      </c>
      <c r="AD446" s="30" t="s">
        <v>1006</v>
      </c>
      <c r="AE446" s="30" t="n">
        <v>7.41</v>
      </c>
      <c r="AF446" s="30" t="s">
        <v>1006</v>
      </c>
      <c r="AG446" s="30" t="n">
        <v>0</v>
      </c>
      <c r="AH446" s="30" t="s">
        <v>1006</v>
      </c>
      <c r="AI446" s="30" t="n">
        <v>0</v>
      </c>
      <c r="AJ446" s="30" t="s">
        <v>1006</v>
      </c>
      <c r="AK446" s="30" t="n">
        <v>0</v>
      </c>
      <c r="AL446" s="30" t="s">
        <v>1006</v>
      </c>
      <c r="AM446" s="30" t="n">
        <v>5.58</v>
      </c>
      <c r="AN446" s="30" t="s">
        <v>1006</v>
      </c>
      <c r="AO446" s="30" t="n">
        <v>27.88</v>
      </c>
      <c r="AP446" s="30" t="s">
        <v>1006</v>
      </c>
      <c r="AQ446" s="30" t="n">
        <v>27.88</v>
      </c>
      <c r="AR446" s="30" t="s">
        <v>1006</v>
      </c>
      <c r="AS446" s="30" t="n">
        <v>27.88</v>
      </c>
      <c r="AT446" s="30" t="s">
        <v>1006</v>
      </c>
      <c r="AU446" s="30" t="n">
        <v>198.75</v>
      </c>
      <c r="AV446" s="30" t="n">
        <v>0.16354</v>
      </c>
      <c r="AW446" s="30" t="s">
        <v>1007</v>
      </c>
      <c r="AX446" s="30" t="s">
        <v>1008</v>
      </c>
      <c r="AY446" s="30"/>
      <c r="AZ446" s="30"/>
    </row>
    <row collapsed="false" customFormat="true" customHeight="true" hidden="false" ht="33" outlineLevel="0" r="447" s="73">
      <c r="A447" s="30" t="n">
        <v>484</v>
      </c>
      <c r="B447" s="30" t="s">
        <v>678</v>
      </c>
      <c r="C447" s="30" t="s">
        <v>1009</v>
      </c>
      <c r="D447" s="30" t="s">
        <v>999</v>
      </c>
      <c r="E447" s="30" t="s">
        <v>1010</v>
      </c>
      <c r="F447" s="30" t="s">
        <v>1001</v>
      </c>
      <c r="G447" s="30" t="s">
        <v>1002</v>
      </c>
      <c r="H447" s="30" t="s">
        <v>1003</v>
      </c>
      <c r="I447" s="30" t="n">
        <v>1</v>
      </c>
      <c r="J447" s="30"/>
      <c r="K447" s="30" t="n">
        <v>80</v>
      </c>
      <c r="L447" s="30" t="n">
        <v>5.5</v>
      </c>
      <c r="M447" s="30" t="s">
        <v>1015</v>
      </c>
      <c r="N447" s="30" t="s">
        <v>54</v>
      </c>
      <c r="O447" s="30"/>
      <c r="P447" s="30"/>
      <c r="Q447" s="30"/>
      <c r="R447" s="30"/>
      <c r="S447" s="30"/>
      <c r="T447" s="30"/>
      <c r="U447" s="30" t="n">
        <v>447.03</v>
      </c>
      <c r="V447" s="30" t="n">
        <v>593.23</v>
      </c>
      <c r="W447" s="30" t="n">
        <v>55.63</v>
      </c>
      <c r="X447" s="30" t="s">
        <v>1006</v>
      </c>
      <c r="Y447" s="30" t="n">
        <v>55.63</v>
      </c>
      <c r="Z447" s="30" t="s">
        <v>1006</v>
      </c>
      <c r="AA447" s="30" t="n">
        <v>55.63</v>
      </c>
      <c r="AB447" s="30" t="s">
        <v>1006</v>
      </c>
      <c r="AC447" s="30" t="n">
        <v>55.63</v>
      </c>
      <c r="AD447" s="30" t="s">
        <v>1006</v>
      </c>
      <c r="AE447" s="30" t="n">
        <v>16.15</v>
      </c>
      <c r="AF447" s="30" t="s">
        <v>1006</v>
      </c>
      <c r="AG447" s="30" t="n">
        <v>0</v>
      </c>
      <c r="AH447" s="30" t="s">
        <v>1006</v>
      </c>
      <c r="AI447" s="30" t="n">
        <v>0</v>
      </c>
      <c r="AJ447" s="30" t="s">
        <v>1006</v>
      </c>
      <c r="AK447" s="30" t="n">
        <v>0</v>
      </c>
      <c r="AL447" s="30" t="s">
        <v>1006</v>
      </c>
      <c r="AM447" s="30" t="n">
        <v>11.69</v>
      </c>
      <c r="AN447" s="30" t="s">
        <v>1006</v>
      </c>
      <c r="AO447" s="30" t="n">
        <v>58.45</v>
      </c>
      <c r="AP447" s="30" t="s">
        <v>1005</v>
      </c>
      <c r="AQ447" s="30" t="n">
        <v>34.11</v>
      </c>
      <c r="AR447" s="30" t="s">
        <v>1005</v>
      </c>
      <c r="AS447" s="30" t="n">
        <v>61.9</v>
      </c>
      <c r="AT447" s="30" t="s">
        <v>1005</v>
      </c>
      <c r="AU447" s="30" t="n">
        <v>404.82</v>
      </c>
      <c r="AV447" s="30" t="n">
        <v>0.23879</v>
      </c>
      <c r="AW447" s="30" t="s">
        <v>1016</v>
      </c>
      <c r="AX447" s="30" t="s">
        <v>1008</v>
      </c>
      <c r="AY447" s="30" t="n">
        <v>1</v>
      </c>
      <c r="AZ447" s="30"/>
    </row>
    <row collapsed="false" customFormat="true" customHeight="true" hidden="false" ht="33" outlineLevel="0" r="448" s="73">
      <c r="A448" s="30" t="n">
        <v>485</v>
      </c>
      <c r="B448" s="30" t="s">
        <v>679</v>
      </c>
      <c r="C448" s="30" t="s">
        <v>1009</v>
      </c>
      <c r="D448" s="30" t="s">
        <v>999</v>
      </c>
      <c r="E448" s="30" t="s">
        <v>1010</v>
      </c>
      <c r="F448" s="30" t="s">
        <v>1001</v>
      </c>
      <c r="G448" s="30" t="s">
        <v>1002</v>
      </c>
      <c r="H448" s="30" t="s">
        <v>1003</v>
      </c>
      <c r="I448" s="30" t="n">
        <v>1</v>
      </c>
      <c r="J448" s="30"/>
      <c r="K448" s="30" t="n">
        <v>80</v>
      </c>
      <c r="L448" s="30" t="n">
        <v>5.5</v>
      </c>
      <c r="M448" s="30" t="s">
        <v>1015</v>
      </c>
      <c r="N448" s="30" t="s">
        <v>54</v>
      </c>
      <c r="O448" s="30"/>
      <c r="P448" s="30"/>
      <c r="Q448" s="30"/>
      <c r="R448" s="30"/>
      <c r="S448" s="30"/>
      <c r="T448" s="30"/>
      <c r="U448" s="30" t="n">
        <v>434.31</v>
      </c>
      <c r="V448" s="30" t="n">
        <v>583.81</v>
      </c>
      <c r="W448" s="30" t="n">
        <v>55.2</v>
      </c>
      <c r="X448" s="30" t="s">
        <v>1006</v>
      </c>
      <c r="Y448" s="30" t="n">
        <v>55.2</v>
      </c>
      <c r="Z448" s="30" t="s">
        <v>1006</v>
      </c>
      <c r="AA448" s="30" t="n">
        <v>55.2</v>
      </c>
      <c r="AB448" s="30" t="s">
        <v>1006</v>
      </c>
      <c r="AC448" s="30" t="n">
        <v>55.2</v>
      </c>
      <c r="AD448" s="30" t="s">
        <v>1006</v>
      </c>
      <c r="AE448" s="30" t="n">
        <v>16.03</v>
      </c>
      <c r="AF448" s="30" t="s">
        <v>1006</v>
      </c>
      <c r="AG448" s="30" t="n">
        <v>0</v>
      </c>
      <c r="AH448" s="30" t="s">
        <v>1006</v>
      </c>
      <c r="AI448" s="30" t="n">
        <v>0</v>
      </c>
      <c r="AJ448" s="30" t="s">
        <v>1006</v>
      </c>
      <c r="AK448" s="30" t="n">
        <v>0</v>
      </c>
      <c r="AL448" s="30" t="s">
        <v>1006</v>
      </c>
      <c r="AM448" s="30" t="n">
        <v>11.6</v>
      </c>
      <c r="AN448" s="30" t="s">
        <v>1006</v>
      </c>
      <c r="AO448" s="30" t="n">
        <v>58</v>
      </c>
      <c r="AP448" s="30" t="s">
        <v>1006</v>
      </c>
      <c r="AQ448" s="30" t="n">
        <v>58</v>
      </c>
      <c r="AR448" s="30" t="s">
        <v>1006</v>
      </c>
      <c r="AS448" s="30" t="n">
        <v>58</v>
      </c>
      <c r="AT448" s="30" t="s">
        <v>1006</v>
      </c>
      <c r="AU448" s="30" t="n">
        <v>422.43</v>
      </c>
      <c r="AV448" s="30" t="n">
        <v>0.22875</v>
      </c>
      <c r="AW448" s="30" t="s">
        <v>1016</v>
      </c>
      <c r="AX448" s="30" t="s">
        <v>1008</v>
      </c>
      <c r="AY448" s="30" t="n">
        <v>1</v>
      </c>
      <c r="AZ448" s="30"/>
    </row>
    <row collapsed="false" customFormat="true" customHeight="true" hidden="false" ht="33" outlineLevel="0" r="449" s="73">
      <c r="A449" s="30" t="n">
        <v>486</v>
      </c>
      <c r="B449" s="30" t="s">
        <v>680</v>
      </c>
      <c r="C449" s="30" t="s">
        <v>1009</v>
      </c>
      <c r="D449" s="30" t="s">
        <v>999</v>
      </c>
      <c r="E449" s="30" t="s">
        <v>1010</v>
      </c>
      <c r="F449" s="30" t="s">
        <v>1001</v>
      </c>
      <c r="G449" s="30" t="s">
        <v>1002</v>
      </c>
      <c r="H449" s="30" t="s">
        <v>1003</v>
      </c>
      <c r="I449" s="30" t="n">
        <v>0</v>
      </c>
      <c r="J449" s="30"/>
      <c r="K449" s="30" t="n">
        <v>50</v>
      </c>
      <c r="L449" s="30" t="n">
        <v>5.5</v>
      </c>
      <c r="M449" s="30" t="s">
        <v>1004</v>
      </c>
      <c r="N449" s="30" t="s">
        <v>54</v>
      </c>
      <c r="O449" s="30"/>
      <c r="P449" s="30"/>
      <c r="Q449" s="30"/>
      <c r="R449" s="30"/>
      <c r="S449" s="30"/>
      <c r="T449" s="30"/>
      <c r="U449" s="30" t="n">
        <v>306.15</v>
      </c>
      <c r="V449" s="30" t="n">
        <v>305.91</v>
      </c>
      <c r="W449" s="30" t="n">
        <v>25.53</v>
      </c>
      <c r="X449" s="30" t="s">
        <v>1006</v>
      </c>
      <c r="Y449" s="30" t="n">
        <v>25.53</v>
      </c>
      <c r="Z449" s="30" t="s">
        <v>1006</v>
      </c>
      <c r="AA449" s="30" t="n">
        <v>25.53</v>
      </c>
      <c r="AB449" s="30" t="s">
        <v>1006</v>
      </c>
      <c r="AC449" s="30" t="n">
        <v>25.53</v>
      </c>
      <c r="AD449" s="30" t="s">
        <v>1006</v>
      </c>
      <c r="AE449" s="30" t="n">
        <v>7.41</v>
      </c>
      <c r="AF449" s="30" t="s">
        <v>1006</v>
      </c>
      <c r="AG449" s="30" t="n">
        <v>0</v>
      </c>
      <c r="AH449" s="30" t="s">
        <v>1006</v>
      </c>
      <c r="AI449" s="30" t="n">
        <v>0</v>
      </c>
      <c r="AJ449" s="30" t="s">
        <v>1006</v>
      </c>
      <c r="AK449" s="30" t="n">
        <v>0</v>
      </c>
      <c r="AL449" s="30" t="s">
        <v>1006</v>
      </c>
      <c r="AM449" s="30" t="n">
        <v>5.58</v>
      </c>
      <c r="AN449" s="30" t="s">
        <v>1006</v>
      </c>
      <c r="AO449" s="30" t="n">
        <v>27.88</v>
      </c>
      <c r="AP449" s="30" t="s">
        <v>1006</v>
      </c>
      <c r="AQ449" s="30" t="n">
        <v>27.88</v>
      </c>
      <c r="AR449" s="30" t="s">
        <v>1006</v>
      </c>
      <c r="AS449" s="30" t="n">
        <v>27.88</v>
      </c>
      <c r="AT449" s="30" t="s">
        <v>1006</v>
      </c>
      <c r="AU449" s="30" t="n">
        <v>198.75</v>
      </c>
      <c r="AV449" s="30" t="n">
        <v>0.16354</v>
      </c>
      <c r="AW449" s="30" t="s">
        <v>1007</v>
      </c>
      <c r="AX449" s="30" t="s">
        <v>1008</v>
      </c>
      <c r="AY449" s="30"/>
      <c r="AZ449" s="30"/>
    </row>
    <row collapsed="false" customFormat="true" customHeight="true" hidden="false" ht="33" outlineLevel="0" r="450" s="73">
      <c r="A450" s="30" t="n">
        <v>487</v>
      </c>
      <c r="B450" s="30" t="s">
        <v>681</v>
      </c>
      <c r="C450" s="30" t="s">
        <v>1009</v>
      </c>
      <c r="D450" s="30" t="s">
        <v>999</v>
      </c>
      <c r="E450" s="30" t="s">
        <v>1010</v>
      </c>
      <c r="F450" s="30" t="s">
        <v>1001</v>
      </c>
      <c r="G450" s="30" t="s">
        <v>1002</v>
      </c>
      <c r="H450" s="30" t="s">
        <v>1003</v>
      </c>
      <c r="I450" s="30" t="n">
        <v>1</v>
      </c>
      <c r="J450" s="30"/>
      <c r="K450" s="30" t="n">
        <v>80</v>
      </c>
      <c r="L450" s="30" t="n">
        <v>5.5</v>
      </c>
      <c r="M450" s="30" t="s">
        <v>1015</v>
      </c>
      <c r="N450" s="30" t="s">
        <v>54</v>
      </c>
      <c r="O450" s="30"/>
      <c r="P450" s="30"/>
      <c r="Q450" s="30"/>
      <c r="R450" s="30"/>
      <c r="S450" s="30"/>
      <c r="T450" s="30"/>
      <c r="U450" s="30" t="n">
        <v>349.96</v>
      </c>
      <c r="V450" s="30" t="n">
        <v>502.71</v>
      </c>
      <c r="W450" s="30" t="n">
        <v>55.52</v>
      </c>
      <c r="X450" s="30" t="s">
        <v>1006</v>
      </c>
      <c r="Y450" s="30" t="n">
        <v>55.52</v>
      </c>
      <c r="Z450" s="30" t="s">
        <v>1006</v>
      </c>
      <c r="AA450" s="30" t="n">
        <v>55.52</v>
      </c>
      <c r="AB450" s="30" t="s">
        <v>1006</v>
      </c>
      <c r="AC450" s="30" t="n">
        <v>36.45</v>
      </c>
      <c r="AD450" s="30" t="s">
        <v>1006</v>
      </c>
      <c r="AE450" s="30" t="n">
        <v>16.12</v>
      </c>
      <c r="AF450" s="30"/>
      <c r="AG450" s="30" t="n">
        <v>0</v>
      </c>
      <c r="AH450" s="30" t="s">
        <v>1006</v>
      </c>
      <c r="AI450" s="30" t="n">
        <v>0</v>
      </c>
      <c r="AJ450" s="30" t="s">
        <v>1006</v>
      </c>
      <c r="AK450" s="30" t="n">
        <v>0</v>
      </c>
      <c r="AL450" s="30" t="s">
        <v>1006</v>
      </c>
      <c r="AM450" s="30" t="n">
        <v>0</v>
      </c>
      <c r="AN450" s="30"/>
      <c r="AO450" s="30" t="n">
        <v>37.34</v>
      </c>
      <c r="AP450" s="30" t="s">
        <v>1005</v>
      </c>
      <c r="AQ450" s="30" t="n">
        <v>47.55</v>
      </c>
      <c r="AR450" s="30" t="s">
        <v>1005</v>
      </c>
      <c r="AS450" s="30" t="n">
        <v>57.65</v>
      </c>
      <c r="AT450" s="30" t="s">
        <v>1005</v>
      </c>
      <c r="AU450" s="30" t="n">
        <v>361.67</v>
      </c>
      <c r="AV450" s="30" t="n">
        <v>0.20568</v>
      </c>
      <c r="AW450" s="30" t="s">
        <v>1016</v>
      </c>
      <c r="AX450" s="30" t="s">
        <v>1008</v>
      </c>
      <c r="AY450" s="30" t="n">
        <v>1</v>
      </c>
      <c r="AZ450" s="30"/>
    </row>
    <row collapsed="false" customFormat="true" customHeight="true" hidden="false" ht="33" outlineLevel="0" r="451" s="73">
      <c r="A451" s="30" t="n">
        <v>488</v>
      </c>
      <c r="B451" s="30" t="s">
        <v>682</v>
      </c>
      <c r="C451" s="30" t="s">
        <v>1009</v>
      </c>
      <c r="D451" s="30" t="s">
        <v>999</v>
      </c>
      <c r="E451" s="30" t="s">
        <v>1010</v>
      </c>
      <c r="F451" s="30" t="s">
        <v>1001</v>
      </c>
      <c r="G451" s="30" t="s">
        <v>1002</v>
      </c>
      <c r="H451" s="30" t="s">
        <v>1003</v>
      </c>
      <c r="I451" s="30" t="n">
        <v>1</v>
      </c>
      <c r="J451" s="30"/>
      <c r="K451" s="30" t="n">
        <v>80</v>
      </c>
      <c r="L451" s="30" t="n">
        <v>5.5</v>
      </c>
      <c r="M451" s="30" t="s">
        <v>1015</v>
      </c>
      <c r="N451" s="30" t="s">
        <v>54</v>
      </c>
      <c r="O451" s="30"/>
      <c r="P451" s="30"/>
      <c r="Q451" s="30"/>
      <c r="R451" s="30"/>
      <c r="S451" s="30"/>
      <c r="T451" s="30"/>
      <c r="U451" s="30" t="n">
        <v>351.28</v>
      </c>
      <c r="V451" s="30" t="n">
        <v>550.31</v>
      </c>
      <c r="W451" s="30" t="n">
        <v>54.29</v>
      </c>
      <c r="X451" s="30" t="s">
        <v>1005</v>
      </c>
      <c r="Y451" s="30" t="n">
        <v>55.1</v>
      </c>
      <c r="Z451" s="30" t="s">
        <v>1005</v>
      </c>
      <c r="AA451" s="30" t="n">
        <v>72.27</v>
      </c>
      <c r="AB451" s="30" t="s">
        <v>1005</v>
      </c>
      <c r="AC451" s="30" t="n">
        <v>33.82</v>
      </c>
      <c r="AD451" s="30" t="s">
        <v>1005</v>
      </c>
      <c r="AE451" s="30" t="n">
        <v>15.76</v>
      </c>
      <c r="AF451" s="30" t="s">
        <v>1005</v>
      </c>
      <c r="AG451" s="30" t="n">
        <v>0</v>
      </c>
      <c r="AH451" s="30" t="s">
        <v>1006</v>
      </c>
      <c r="AI451" s="30" t="n">
        <v>0</v>
      </c>
      <c r="AJ451" s="30" t="s">
        <v>1006</v>
      </c>
      <c r="AK451" s="30" t="n">
        <v>0</v>
      </c>
      <c r="AL451" s="30" t="s">
        <v>1006</v>
      </c>
      <c r="AM451" s="30" t="n">
        <v>0</v>
      </c>
      <c r="AN451" s="30"/>
      <c r="AO451" s="30" t="n">
        <v>59.28</v>
      </c>
      <c r="AP451" s="30" t="s">
        <v>1005</v>
      </c>
      <c r="AQ451" s="30" t="n">
        <v>27.26</v>
      </c>
      <c r="AR451" s="30" t="s">
        <v>1005</v>
      </c>
      <c r="AS451" s="30" t="n">
        <v>50.25</v>
      </c>
      <c r="AT451" s="30" t="s">
        <v>1005</v>
      </c>
      <c r="AU451" s="30" t="n">
        <v>368.03</v>
      </c>
      <c r="AV451" s="30" t="n">
        <v>0.19564</v>
      </c>
      <c r="AW451" s="30" t="s">
        <v>1016</v>
      </c>
      <c r="AX451" s="30" t="s">
        <v>1008</v>
      </c>
      <c r="AY451" s="30" t="n">
        <v>1</v>
      </c>
      <c r="AZ451" s="30"/>
    </row>
    <row collapsed="false" customFormat="true" customHeight="true" hidden="false" ht="33" outlineLevel="0" r="452" s="73">
      <c r="A452" s="30" t="n">
        <v>489</v>
      </c>
      <c r="B452" s="30" t="s">
        <v>683</v>
      </c>
      <c r="C452" s="30" t="s">
        <v>1009</v>
      </c>
      <c r="D452" s="30" t="s">
        <v>999</v>
      </c>
      <c r="E452" s="30" t="s">
        <v>1010</v>
      </c>
      <c r="F452" s="30" t="s">
        <v>1001</v>
      </c>
      <c r="G452" s="30" t="s">
        <v>1002</v>
      </c>
      <c r="H452" s="30" t="s">
        <v>1003</v>
      </c>
      <c r="I452" s="30" t="n">
        <v>1</v>
      </c>
      <c r="J452" s="30"/>
      <c r="K452" s="30" t="n">
        <v>80</v>
      </c>
      <c r="L452" s="30" t="n">
        <v>5.5</v>
      </c>
      <c r="M452" s="30" t="s">
        <v>1015</v>
      </c>
      <c r="N452" s="30" t="s">
        <v>54</v>
      </c>
      <c r="O452" s="30"/>
      <c r="P452" s="30"/>
      <c r="Q452" s="30"/>
      <c r="R452" s="30"/>
      <c r="S452" s="30"/>
      <c r="T452" s="30"/>
      <c r="U452" s="30" t="n">
        <v>591.58</v>
      </c>
      <c r="V452" s="30" t="n">
        <v>764.56</v>
      </c>
      <c r="W452" s="30" t="n">
        <v>69.05</v>
      </c>
      <c r="X452" s="30" t="s">
        <v>1006</v>
      </c>
      <c r="Y452" s="30" t="n">
        <v>69.05</v>
      </c>
      <c r="Z452" s="30" t="s">
        <v>1006</v>
      </c>
      <c r="AA452" s="30" t="n">
        <v>69.05</v>
      </c>
      <c r="AB452" s="30" t="s">
        <v>1006</v>
      </c>
      <c r="AC452" s="30" t="n">
        <v>69.05</v>
      </c>
      <c r="AD452" s="30" t="s">
        <v>1006</v>
      </c>
      <c r="AE452" s="30" t="n">
        <v>20.05</v>
      </c>
      <c r="AF452" s="30" t="s">
        <v>1006</v>
      </c>
      <c r="AG452" s="30" t="n">
        <v>0</v>
      </c>
      <c r="AH452" s="30" t="s">
        <v>1006</v>
      </c>
      <c r="AI452" s="30" t="n">
        <v>0</v>
      </c>
      <c r="AJ452" s="30" t="s">
        <v>1006</v>
      </c>
      <c r="AK452" s="30" t="n">
        <v>0</v>
      </c>
      <c r="AL452" s="30" t="s">
        <v>1006</v>
      </c>
      <c r="AM452" s="30" t="n">
        <v>15.08</v>
      </c>
      <c r="AN452" s="30" t="s">
        <v>1006</v>
      </c>
      <c r="AO452" s="30" t="n">
        <v>75.41</v>
      </c>
      <c r="AP452" s="30" t="s">
        <v>1006</v>
      </c>
      <c r="AQ452" s="30" t="n">
        <v>75.41</v>
      </c>
      <c r="AR452" s="30" t="s">
        <v>1006</v>
      </c>
      <c r="AS452" s="30" t="n">
        <v>75.41</v>
      </c>
      <c r="AT452" s="30" t="s">
        <v>1006</v>
      </c>
      <c r="AU452" s="30" t="n">
        <v>537.56</v>
      </c>
      <c r="AV452" s="30" t="n">
        <v>0.31303</v>
      </c>
      <c r="AW452" s="30" t="s">
        <v>1016</v>
      </c>
      <c r="AX452" s="30" t="s">
        <v>1008</v>
      </c>
      <c r="AY452" s="30" t="n">
        <v>1</v>
      </c>
      <c r="AZ452" s="30"/>
    </row>
    <row collapsed="false" customFormat="true" customHeight="true" hidden="false" ht="33" outlineLevel="0" r="453" s="73">
      <c r="A453" s="30" t="n">
        <v>490</v>
      </c>
      <c r="B453" s="30" t="s">
        <v>684</v>
      </c>
      <c r="C453" s="30" t="s">
        <v>1009</v>
      </c>
      <c r="D453" s="30" t="s">
        <v>999</v>
      </c>
      <c r="E453" s="30" t="s">
        <v>1010</v>
      </c>
      <c r="F453" s="30" t="s">
        <v>1001</v>
      </c>
      <c r="G453" s="30" t="s">
        <v>1002</v>
      </c>
      <c r="H453" s="30" t="s">
        <v>1003</v>
      </c>
      <c r="I453" s="30" t="n">
        <v>0</v>
      </c>
      <c r="J453" s="30"/>
      <c r="K453" s="30" t="n">
        <v>80</v>
      </c>
      <c r="L453" s="30" t="n">
        <v>5.5</v>
      </c>
      <c r="M453" s="30" t="s">
        <v>1015</v>
      </c>
      <c r="N453" s="30" t="s">
        <v>54</v>
      </c>
      <c r="O453" s="30"/>
      <c r="P453" s="30"/>
      <c r="Q453" s="30"/>
      <c r="R453" s="30"/>
      <c r="S453" s="30"/>
      <c r="T453" s="30"/>
      <c r="U453" s="30" t="n">
        <v>259.64</v>
      </c>
      <c r="V453" s="30" t="n">
        <v>421.39</v>
      </c>
      <c r="W453" s="30" t="n">
        <v>44.21</v>
      </c>
      <c r="X453" s="30" t="s">
        <v>1006</v>
      </c>
      <c r="Y453" s="30" t="n">
        <v>44.21</v>
      </c>
      <c r="Z453" s="30" t="s">
        <v>1006</v>
      </c>
      <c r="AA453" s="30" t="n">
        <v>44.21</v>
      </c>
      <c r="AB453" s="30" t="s">
        <v>1006</v>
      </c>
      <c r="AC453" s="30" t="n">
        <v>44.21</v>
      </c>
      <c r="AD453" s="30" t="s">
        <v>1006</v>
      </c>
      <c r="AE453" s="30" t="n">
        <v>12.84</v>
      </c>
      <c r="AF453" s="30" t="s">
        <v>1006</v>
      </c>
      <c r="AG453" s="30" t="n">
        <v>0</v>
      </c>
      <c r="AH453" s="30" t="s">
        <v>1006</v>
      </c>
      <c r="AI453" s="30" t="n">
        <v>0</v>
      </c>
      <c r="AJ453" s="30" t="s">
        <v>1006</v>
      </c>
      <c r="AK453" s="30" t="n">
        <v>0</v>
      </c>
      <c r="AL453" s="30" t="s">
        <v>1006</v>
      </c>
      <c r="AM453" s="30" t="n">
        <v>10.84</v>
      </c>
      <c r="AN453" s="30" t="s">
        <v>1006</v>
      </c>
      <c r="AO453" s="30" t="n">
        <v>46.45</v>
      </c>
      <c r="AP453" s="30" t="s">
        <v>1006</v>
      </c>
      <c r="AQ453" s="30" t="n">
        <v>46.45</v>
      </c>
      <c r="AR453" s="30" t="s">
        <v>1006</v>
      </c>
      <c r="AS453" s="30" t="n">
        <v>46.45</v>
      </c>
      <c r="AT453" s="30" t="s">
        <v>1006</v>
      </c>
      <c r="AU453" s="30" t="n">
        <v>339.87</v>
      </c>
      <c r="AV453" s="30" t="n">
        <v>0.13846</v>
      </c>
      <c r="AW453" s="30" t="s">
        <v>1016</v>
      </c>
      <c r="AX453" s="30" t="s">
        <v>1008</v>
      </c>
      <c r="AY453" s="30" t="n">
        <v>1</v>
      </c>
      <c r="AZ453" s="30"/>
    </row>
    <row collapsed="false" customFormat="true" customHeight="true" hidden="false" ht="33" outlineLevel="0" r="454" s="73">
      <c r="A454" s="30" t="n">
        <v>491</v>
      </c>
      <c r="B454" s="30" t="s">
        <v>685</v>
      </c>
      <c r="C454" s="30" t="s">
        <v>1009</v>
      </c>
      <c r="D454" s="30" t="s">
        <v>999</v>
      </c>
      <c r="E454" s="30" t="s">
        <v>1010</v>
      </c>
      <c r="F454" s="30" t="s">
        <v>1001</v>
      </c>
      <c r="G454" s="30" t="s">
        <v>1002</v>
      </c>
      <c r="H454" s="30" t="s">
        <v>1003</v>
      </c>
      <c r="I454" s="30" t="n">
        <v>0</v>
      </c>
      <c r="J454" s="30"/>
      <c r="K454" s="30" t="n">
        <v>80</v>
      </c>
      <c r="L454" s="30" t="n">
        <v>5.5</v>
      </c>
      <c r="M454" s="30" t="s">
        <v>1015</v>
      </c>
      <c r="N454" s="30" t="s">
        <v>54</v>
      </c>
      <c r="O454" s="30"/>
      <c r="P454" s="30"/>
      <c r="Q454" s="30"/>
      <c r="R454" s="30"/>
      <c r="S454" s="30"/>
      <c r="T454" s="30"/>
      <c r="U454" s="30" t="n">
        <v>259.64</v>
      </c>
      <c r="V454" s="30" t="n">
        <v>435.68</v>
      </c>
      <c r="W454" s="30" t="n">
        <v>44.23</v>
      </c>
      <c r="X454" s="30" t="s">
        <v>1006</v>
      </c>
      <c r="Y454" s="30" t="n">
        <v>44.23</v>
      </c>
      <c r="Z454" s="30" t="s">
        <v>1006</v>
      </c>
      <c r="AA454" s="30" t="n">
        <v>44.23</v>
      </c>
      <c r="AB454" s="30" t="s">
        <v>1006</v>
      </c>
      <c r="AC454" s="30" t="n">
        <v>44.23</v>
      </c>
      <c r="AD454" s="30" t="s">
        <v>1006</v>
      </c>
      <c r="AE454" s="30" t="n">
        <v>12.84</v>
      </c>
      <c r="AF454" s="30" t="s">
        <v>1006</v>
      </c>
      <c r="AG454" s="30" t="n">
        <v>0</v>
      </c>
      <c r="AH454" s="30" t="s">
        <v>1006</v>
      </c>
      <c r="AI454" s="30" t="n">
        <v>0</v>
      </c>
      <c r="AJ454" s="30" t="s">
        <v>1006</v>
      </c>
      <c r="AK454" s="30" t="n">
        <v>0</v>
      </c>
      <c r="AL454" s="30" t="s">
        <v>1006</v>
      </c>
      <c r="AM454" s="30" t="n">
        <v>10.85</v>
      </c>
      <c r="AN454" s="30" t="s">
        <v>1006</v>
      </c>
      <c r="AO454" s="30" t="n">
        <v>46.48</v>
      </c>
      <c r="AP454" s="30" t="s">
        <v>1006</v>
      </c>
      <c r="AQ454" s="30" t="n">
        <v>46.48</v>
      </c>
      <c r="AR454" s="30" t="s">
        <v>1006</v>
      </c>
      <c r="AS454" s="30" t="n">
        <v>46.48</v>
      </c>
      <c r="AT454" s="30" t="s">
        <v>1006</v>
      </c>
      <c r="AU454" s="30" t="n">
        <v>340.05</v>
      </c>
      <c r="AV454" s="30" t="n">
        <v>0.13846</v>
      </c>
      <c r="AW454" s="30" t="s">
        <v>1016</v>
      </c>
      <c r="AX454" s="30" t="s">
        <v>1008</v>
      </c>
      <c r="AY454" s="30" t="n">
        <v>1</v>
      </c>
      <c r="AZ454" s="30"/>
    </row>
    <row collapsed="false" customFormat="true" customHeight="true" hidden="false" ht="33" outlineLevel="0" r="455" s="73">
      <c r="A455" s="30" t="n">
        <v>492</v>
      </c>
      <c r="B455" s="30" t="s">
        <v>687</v>
      </c>
      <c r="C455" s="30" t="s">
        <v>1009</v>
      </c>
      <c r="D455" s="30" t="s">
        <v>999</v>
      </c>
      <c r="E455" s="30" t="s">
        <v>1010</v>
      </c>
      <c r="F455" s="30" t="s">
        <v>1001</v>
      </c>
      <c r="G455" s="30" t="s">
        <v>1002</v>
      </c>
      <c r="H455" s="30" t="s">
        <v>1003</v>
      </c>
      <c r="I455" s="30" t="n">
        <v>1</v>
      </c>
      <c r="J455" s="30"/>
      <c r="K455" s="30" t="n">
        <v>80</v>
      </c>
      <c r="L455" s="30" t="n">
        <v>5.5</v>
      </c>
      <c r="M455" s="30" t="s">
        <v>1015</v>
      </c>
      <c r="N455" s="30" t="s">
        <v>54</v>
      </c>
      <c r="O455" s="30"/>
      <c r="P455" s="30"/>
      <c r="Q455" s="30"/>
      <c r="R455" s="30"/>
      <c r="S455" s="30"/>
      <c r="T455" s="30"/>
      <c r="U455" s="30" t="n">
        <v>398.14</v>
      </c>
      <c r="V455" s="30" t="n">
        <v>590.64</v>
      </c>
      <c r="W455" s="30" t="n">
        <v>56.72</v>
      </c>
      <c r="X455" s="30" t="s">
        <v>1006</v>
      </c>
      <c r="Y455" s="30" t="n">
        <v>56.72</v>
      </c>
      <c r="Z455" s="30" t="s">
        <v>1006</v>
      </c>
      <c r="AA455" s="30" t="n">
        <v>56.72</v>
      </c>
      <c r="AB455" s="30" t="s">
        <v>1006</v>
      </c>
      <c r="AC455" s="30" t="n">
        <v>56.72</v>
      </c>
      <c r="AD455" s="30" t="s">
        <v>1006</v>
      </c>
      <c r="AE455" s="30" t="n">
        <v>16.47</v>
      </c>
      <c r="AF455" s="30" t="s">
        <v>1006</v>
      </c>
      <c r="AG455" s="30" t="n">
        <v>0</v>
      </c>
      <c r="AH455" s="30" t="s">
        <v>1006</v>
      </c>
      <c r="AI455" s="30" t="n">
        <v>0</v>
      </c>
      <c r="AJ455" s="30" t="s">
        <v>1006</v>
      </c>
      <c r="AK455" s="30" t="n">
        <v>0</v>
      </c>
      <c r="AL455" s="30" t="s">
        <v>1006</v>
      </c>
      <c r="AM455" s="30" t="n">
        <v>13.88</v>
      </c>
      <c r="AN455" s="30" t="s">
        <v>1006</v>
      </c>
      <c r="AO455" s="30" t="n">
        <v>59.48</v>
      </c>
      <c r="AP455" s="30" t="s">
        <v>1005</v>
      </c>
      <c r="AQ455" s="30" t="n">
        <v>32.31</v>
      </c>
      <c r="AR455" s="30" t="s">
        <v>1005</v>
      </c>
      <c r="AS455" s="30" t="n">
        <v>58.57</v>
      </c>
      <c r="AT455" s="30" t="s">
        <v>1005</v>
      </c>
      <c r="AU455" s="30" t="n">
        <v>407.59</v>
      </c>
      <c r="AV455" s="30" t="n">
        <v>0.21972</v>
      </c>
      <c r="AW455" s="30" t="s">
        <v>1016</v>
      </c>
      <c r="AX455" s="30" t="s">
        <v>1008</v>
      </c>
      <c r="AY455" s="30" t="n">
        <v>1</v>
      </c>
      <c r="AZ455" s="30"/>
    </row>
    <row collapsed="false" customFormat="true" customHeight="true" hidden="false" ht="33" outlineLevel="0" r="456" s="73">
      <c r="A456" s="30" t="n">
        <v>493</v>
      </c>
      <c r="B456" s="30" t="s">
        <v>688</v>
      </c>
      <c r="C456" s="30" t="s">
        <v>1009</v>
      </c>
      <c r="D456" s="30" t="s">
        <v>999</v>
      </c>
      <c r="E456" s="30" t="s">
        <v>1010</v>
      </c>
      <c r="F456" s="30" t="s">
        <v>1001</v>
      </c>
      <c r="G456" s="30" t="s">
        <v>1002</v>
      </c>
      <c r="H456" s="30" t="s">
        <v>1003</v>
      </c>
      <c r="I456" s="30" t="n">
        <v>1</v>
      </c>
      <c r="J456" s="30"/>
      <c r="K456" s="30" t="n">
        <v>80</v>
      </c>
      <c r="L456" s="30" t="n">
        <v>5.5</v>
      </c>
      <c r="M456" s="30" t="s">
        <v>1015</v>
      </c>
      <c r="N456" s="30" t="s">
        <v>54</v>
      </c>
      <c r="O456" s="30"/>
      <c r="P456" s="30"/>
      <c r="Q456" s="30"/>
      <c r="R456" s="30"/>
      <c r="S456" s="30"/>
      <c r="T456" s="30"/>
      <c r="U456" s="30" t="n">
        <v>835.64</v>
      </c>
      <c r="V456" s="30" t="n">
        <v>1221.04</v>
      </c>
      <c r="W456" s="30" t="n">
        <v>119.09</v>
      </c>
      <c r="X456" s="30" t="s">
        <v>1006</v>
      </c>
      <c r="Y456" s="30" t="n">
        <v>119.09</v>
      </c>
      <c r="Z456" s="30" t="s">
        <v>1006</v>
      </c>
      <c r="AA456" s="30" t="n">
        <v>119.09</v>
      </c>
      <c r="AB456" s="30" t="s">
        <v>1006</v>
      </c>
      <c r="AC456" s="30" t="n">
        <v>119.09</v>
      </c>
      <c r="AD456" s="30" t="s">
        <v>1006</v>
      </c>
      <c r="AE456" s="30" t="n">
        <v>34.57</v>
      </c>
      <c r="AF456" s="30" t="s">
        <v>1006</v>
      </c>
      <c r="AG456" s="30" t="n">
        <v>0</v>
      </c>
      <c r="AH456" s="30" t="s">
        <v>1006</v>
      </c>
      <c r="AI456" s="30" t="n">
        <v>0</v>
      </c>
      <c r="AJ456" s="30" t="s">
        <v>1006</v>
      </c>
      <c r="AK456" s="30" t="n">
        <v>0</v>
      </c>
      <c r="AL456" s="30" t="s">
        <v>1006</v>
      </c>
      <c r="AM456" s="30" t="n">
        <v>29.14</v>
      </c>
      <c r="AN456" s="30" t="s">
        <v>1006</v>
      </c>
      <c r="AO456" s="30" t="n">
        <v>46.88</v>
      </c>
      <c r="AP456" s="30" t="s">
        <v>1005</v>
      </c>
      <c r="AQ456" s="30" t="n">
        <v>97.31</v>
      </c>
      <c r="AR456" s="30" t="s">
        <v>1005</v>
      </c>
      <c r="AS456" s="30" t="n">
        <v>119.21</v>
      </c>
      <c r="AT456" s="30" t="s">
        <v>1005</v>
      </c>
      <c r="AU456" s="30" t="n">
        <v>803.47</v>
      </c>
      <c r="AV456" s="30" t="n">
        <v>0.44146</v>
      </c>
      <c r="AW456" s="30" t="s">
        <v>1016</v>
      </c>
      <c r="AX456" s="30" t="s">
        <v>1008</v>
      </c>
      <c r="AY456" s="30" t="n">
        <v>1</v>
      </c>
      <c r="AZ456" s="30"/>
    </row>
    <row collapsed="false" customFormat="true" customHeight="true" hidden="false" ht="33" outlineLevel="0" r="457" s="73">
      <c r="A457" s="30" t="n">
        <v>494</v>
      </c>
      <c r="B457" s="30" t="s">
        <v>689</v>
      </c>
      <c r="C457" s="30" t="s">
        <v>1009</v>
      </c>
      <c r="D457" s="30" t="s">
        <v>999</v>
      </c>
      <c r="E457" s="30" t="s">
        <v>1010</v>
      </c>
      <c r="F457" s="30" t="s">
        <v>1001</v>
      </c>
      <c r="G457" s="30" t="s">
        <v>1002</v>
      </c>
      <c r="H457" s="30" t="s">
        <v>1003</v>
      </c>
      <c r="I457" s="30" t="n">
        <v>1</v>
      </c>
      <c r="J457" s="30"/>
      <c r="K457" s="30" t="n">
        <v>80</v>
      </c>
      <c r="L457" s="30" t="n">
        <v>5.5</v>
      </c>
      <c r="M457" s="30" t="s">
        <v>1015</v>
      </c>
      <c r="N457" s="30" t="s">
        <v>54</v>
      </c>
      <c r="O457" s="30"/>
      <c r="P457" s="30"/>
      <c r="Q457" s="30"/>
      <c r="R457" s="30"/>
      <c r="S457" s="30"/>
      <c r="T457" s="30"/>
      <c r="U457" s="30" t="n">
        <v>397.15</v>
      </c>
      <c r="V457" s="30" t="n">
        <v>583.02</v>
      </c>
      <c r="W457" s="30" t="n">
        <v>55.72</v>
      </c>
      <c r="X457" s="30" t="s">
        <v>1006</v>
      </c>
      <c r="Y457" s="30" t="n">
        <v>55.72</v>
      </c>
      <c r="Z457" s="30" t="s">
        <v>1006</v>
      </c>
      <c r="AA457" s="30" t="n">
        <v>55.72</v>
      </c>
      <c r="AB457" s="30" t="s">
        <v>1006</v>
      </c>
      <c r="AC457" s="30" t="n">
        <v>55.72</v>
      </c>
      <c r="AD457" s="30" t="s">
        <v>1006</v>
      </c>
      <c r="AE457" s="30" t="n">
        <v>16.18</v>
      </c>
      <c r="AF457" s="30" t="s">
        <v>1006</v>
      </c>
      <c r="AG457" s="30" t="n">
        <v>0</v>
      </c>
      <c r="AH457" s="30" t="s">
        <v>1006</v>
      </c>
      <c r="AI457" s="30" t="n">
        <v>0</v>
      </c>
      <c r="AJ457" s="30" t="s">
        <v>1006</v>
      </c>
      <c r="AK457" s="30" t="n">
        <v>0</v>
      </c>
      <c r="AL457" s="30" t="s">
        <v>1006</v>
      </c>
      <c r="AM457" s="30" t="n">
        <v>13.63</v>
      </c>
      <c r="AN457" s="30" t="s">
        <v>1006</v>
      </c>
      <c r="AO457" s="30" t="n">
        <v>58.43</v>
      </c>
      <c r="AP457" s="30" t="s">
        <v>1006</v>
      </c>
      <c r="AQ457" s="30" t="n">
        <v>58.43</v>
      </c>
      <c r="AR457" s="30" t="s">
        <v>1006</v>
      </c>
      <c r="AS457" s="30" t="n">
        <v>58.43</v>
      </c>
      <c r="AT457" s="30" t="s">
        <v>1006</v>
      </c>
      <c r="AU457" s="30" t="n">
        <v>427.98</v>
      </c>
      <c r="AV457" s="30" t="n">
        <v>0.21972</v>
      </c>
      <c r="AW457" s="30" t="s">
        <v>1016</v>
      </c>
      <c r="AX457" s="30" t="s">
        <v>1008</v>
      </c>
      <c r="AY457" s="30" t="n">
        <v>1</v>
      </c>
      <c r="AZ457" s="30"/>
    </row>
    <row collapsed="false" customFormat="true" customHeight="true" hidden="false" ht="33" outlineLevel="0" r="458" s="73">
      <c r="A458" s="30" t="n">
        <v>495</v>
      </c>
      <c r="B458" s="30" t="s">
        <v>690</v>
      </c>
      <c r="C458" s="30" t="s">
        <v>1009</v>
      </c>
      <c r="D458" s="30" t="s">
        <v>999</v>
      </c>
      <c r="E458" s="30" t="s">
        <v>1010</v>
      </c>
      <c r="F458" s="30" t="s">
        <v>1001</v>
      </c>
      <c r="G458" s="30" t="s">
        <v>1002</v>
      </c>
      <c r="H458" s="30" t="s">
        <v>1003</v>
      </c>
      <c r="I458" s="30" t="n">
        <v>1</v>
      </c>
      <c r="J458" s="30"/>
      <c r="K458" s="30" t="n">
        <v>80</v>
      </c>
      <c r="L458" s="30" t="n">
        <v>5.5</v>
      </c>
      <c r="M458" s="30" t="s">
        <v>1015</v>
      </c>
      <c r="N458" s="30" t="s">
        <v>54</v>
      </c>
      <c r="O458" s="30"/>
      <c r="P458" s="30"/>
      <c r="Q458" s="30"/>
      <c r="R458" s="30"/>
      <c r="S458" s="30"/>
      <c r="T458" s="30"/>
      <c r="U458" s="30" t="n">
        <v>882.35</v>
      </c>
      <c r="V458" s="30" t="n">
        <v>906.35</v>
      </c>
      <c r="W458" s="30" t="n">
        <v>116.94</v>
      </c>
      <c r="X458" s="30" t="s">
        <v>1006</v>
      </c>
      <c r="Y458" s="30" t="n">
        <v>116.94</v>
      </c>
      <c r="Z458" s="30" t="s">
        <v>1006</v>
      </c>
      <c r="AA458" s="30" t="n">
        <v>175.89</v>
      </c>
      <c r="AB458" s="30" t="s">
        <v>1005</v>
      </c>
      <c r="AC458" s="30" t="n">
        <v>80.77</v>
      </c>
      <c r="AD458" s="30" t="s">
        <v>1005</v>
      </c>
      <c r="AE458" s="30" t="n">
        <v>33.95</v>
      </c>
      <c r="AF458" s="30" t="s">
        <v>1006</v>
      </c>
      <c r="AG458" s="30" t="n">
        <v>0</v>
      </c>
      <c r="AH458" s="30" t="s">
        <v>1006</v>
      </c>
      <c r="AI458" s="30" t="n">
        <v>0</v>
      </c>
      <c r="AJ458" s="30" t="s">
        <v>1006</v>
      </c>
      <c r="AK458" s="30" t="n">
        <v>0</v>
      </c>
      <c r="AL458" s="30" t="s">
        <v>1006</v>
      </c>
      <c r="AM458" s="30" t="n">
        <v>0</v>
      </c>
      <c r="AN458" s="30"/>
      <c r="AO458" s="30" t="n">
        <v>87.76</v>
      </c>
      <c r="AP458" s="30" t="s">
        <v>1005</v>
      </c>
      <c r="AQ458" s="30" t="n">
        <v>112.16</v>
      </c>
      <c r="AR458" s="30" t="s">
        <v>1005</v>
      </c>
      <c r="AS458" s="30" t="n">
        <v>142.14</v>
      </c>
      <c r="AT458" s="30" t="s">
        <v>1005</v>
      </c>
      <c r="AU458" s="30" t="n">
        <v>866.55</v>
      </c>
      <c r="AV458" s="30" t="n">
        <v>0.44146</v>
      </c>
      <c r="AW458" s="30" t="s">
        <v>1016</v>
      </c>
      <c r="AX458" s="30" t="s">
        <v>1008</v>
      </c>
      <c r="AY458" s="30" t="n">
        <v>1</v>
      </c>
      <c r="AZ458" s="30"/>
    </row>
    <row collapsed="false" customFormat="true" customHeight="true" hidden="false" ht="33" outlineLevel="0" r="459" s="73">
      <c r="A459" s="30" t="n">
        <v>496</v>
      </c>
      <c r="B459" s="30" t="s">
        <v>691</v>
      </c>
      <c r="C459" s="30" t="s">
        <v>1009</v>
      </c>
      <c r="D459" s="30" t="s">
        <v>999</v>
      </c>
      <c r="E459" s="30" t="s">
        <v>1010</v>
      </c>
      <c r="F459" s="30" t="s">
        <v>1001</v>
      </c>
      <c r="G459" s="30" t="s">
        <v>1002</v>
      </c>
      <c r="H459" s="30" t="s">
        <v>1003</v>
      </c>
      <c r="I459" s="30" t="n">
        <v>1</v>
      </c>
      <c r="J459" s="30"/>
      <c r="K459" s="30" t="n">
        <v>80</v>
      </c>
      <c r="L459" s="30" t="n">
        <v>5.5</v>
      </c>
      <c r="M459" s="30" t="s">
        <v>1015</v>
      </c>
      <c r="N459" s="30" t="s">
        <v>53</v>
      </c>
      <c r="O459" s="30"/>
      <c r="P459" s="30"/>
      <c r="Q459" s="30"/>
      <c r="R459" s="30"/>
      <c r="S459" s="30"/>
      <c r="T459" s="30"/>
      <c r="U459" s="30" t="n">
        <v>564.06</v>
      </c>
      <c r="V459" s="30" t="n">
        <v>780.66</v>
      </c>
      <c r="W459" s="30" t="n">
        <v>70.67</v>
      </c>
      <c r="X459" s="30" t="s">
        <v>1006</v>
      </c>
      <c r="Y459" s="30" t="n">
        <v>70.67</v>
      </c>
      <c r="Z459" s="30" t="s">
        <v>1006</v>
      </c>
      <c r="AA459" s="30" t="n">
        <v>70.67</v>
      </c>
      <c r="AB459" s="30" t="s">
        <v>1006</v>
      </c>
      <c r="AC459" s="30" t="n">
        <v>70.67</v>
      </c>
      <c r="AD459" s="30" t="s">
        <v>1006</v>
      </c>
      <c r="AE459" s="30" t="n">
        <v>20.52</v>
      </c>
      <c r="AF459" s="30" t="s">
        <v>1006</v>
      </c>
      <c r="AG459" s="30" t="n">
        <v>0</v>
      </c>
      <c r="AH459" s="30" t="s">
        <v>1006</v>
      </c>
      <c r="AI459" s="30" t="n">
        <v>0</v>
      </c>
      <c r="AJ459" s="30" t="s">
        <v>1006</v>
      </c>
      <c r="AK459" s="30" t="n">
        <v>0</v>
      </c>
      <c r="AL459" s="30" t="s">
        <v>1006</v>
      </c>
      <c r="AM459" s="30" t="n">
        <v>17.29</v>
      </c>
      <c r="AN459" s="30" t="s">
        <v>1006</v>
      </c>
      <c r="AO459" s="30" t="n">
        <v>74.12</v>
      </c>
      <c r="AP459" s="30" t="s">
        <v>1005</v>
      </c>
      <c r="AQ459" s="30" t="n">
        <v>74.12</v>
      </c>
      <c r="AR459" s="30" t="s">
        <v>1005</v>
      </c>
      <c r="AS459" s="30" t="n">
        <v>44.12</v>
      </c>
      <c r="AT459" s="30" t="s">
        <v>1005</v>
      </c>
      <c r="AU459" s="30" t="n">
        <v>512.85</v>
      </c>
      <c r="AV459" s="30" t="n">
        <v>0.37707</v>
      </c>
      <c r="AW459" s="30" t="s">
        <v>1007</v>
      </c>
      <c r="AX459" s="30" t="s">
        <v>1008</v>
      </c>
      <c r="AY459" s="30" t="n">
        <v>0</v>
      </c>
      <c r="AZ459" s="30"/>
    </row>
    <row collapsed="false" customFormat="true" customHeight="true" hidden="false" ht="33" outlineLevel="0" r="460" s="73">
      <c r="A460" s="30" t="n">
        <v>497</v>
      </c>
      <c r="B460" s="30" t="s">
        <v>693</v>
      </c>
      <c r="C460" s="30" t="s">
        <v>1009</v>
      </c>
      <c r="D460" s="30" t="s">
        <v>999</v>
      </c>
      <c r="E460" s="30" t="s">
        <v>1000</v>
      </c>
      <c r="F460" s="30" t="s">
        <v>1014</v>
      </c>
      <c r="G460" s="30" t="s">
        <v>1002</v>
      </c>
      <c r="H460" s="30" t="s">
        <v>1003</v>
      </c>
      <c r="I460" s="30" t="n">
        <v>1</v>
      </c>
      <c r="J460" s="30"/>
      <c r="K460" s="30" t="n">
        <v>76</v>
      </c>
      <c r="L460" s="30" t="n">
        <v>10</v>
      </c>
      <c r="M460" s="30" t="s">
        <v>1004</v>
      </c>
      <c r="N460" s="30" t="s">
        <v>54</v>
      </c>
      <c r="O460" s="30"/>
      <c r="P460" s="30"/>
      <c r="Q460" s="30"/>
      <c r="R460" s="30"/>
      <c r="S460" s="30"/>
      <c r="T460" s="30"/>
      <c r="U460" s="30" t="n">
        <v>347.39</v>
      </c>
      <c r="V460" s="30" t="n">
        <v>289.93</v>
      </c>
      <c r="W460" s="30" t="n">
        <v>65.91</v>
      </c>
      <c r="X460" s="30" t="s">
        <v>1005</v>
      </c>
      <c r="Y460" s="30" t="n">
        <v>46.87</v>
      </c>
      <c r="Z460" s="30" t="s">
        <v>1005</v>
      </c>
      <c r="AA460" s="30" t="n">
        <v>57.66</v>
      </c>
      <c r="AB460" s="30" t="s">
        <v>1005</v>
      </c>
      <c r="AC460" s="30" t="n">
        <v>19.15</v>
      </c>
      <c r="AD460" s="30" t="s">
        <v>1005</v>
      </c>
      <c r="AE460" s="30" t="n">
        <v>12.11</v>
      </c>
      <c r="AF460" s="30" t="s">
        <v>1005</v>
      </c>
      <c r="AG460" s="30" t="n">
        <v>0</v>
      </c>
      <c r="AH460" s="30" t="s">
        <v>1006</v>
      </c>
      <c r="AI460" s="30" t="n">
        <v>0</v>
      </c>
      <c r="AJ460" s="30" t="s">
        <v>1006</v>
      </c>
      <c r="AK460" s="30" t="n">
        <v>0</v>
      </c>
      <c r="AL460" s="30" t="s">
        <v>1006</v>
      </c>
      <c r="AM460" s="30" t="n">
        <v>0</v>
      </c>
      <c r="AN460" s="30" t="s">
        <v>1005</v>
      </c>
      <c r="AO460" s="30" t="n">
        <v>45.82</v>
      </c>
      <c r="AP460" s="30" t="s">
        <v>1006</v>
      </c>
      <c r="AQ460" s="30" t="n">
        <v>28.26</v>
      </c>
      <c r="AR460" s="30" t="s">
        <v>1005</v>
      </c>
      <c r="AS460" s="30" t="n">
        <v>44.09</v>
      </c>
      <c r="AT460" s="30" t="s">
        <v>1005</v>
      </c>
      <c r="AU460" s="30" t="n">
        <v>319.87</v>
      </c>
      <c r="AV460" s="30" t="n">
        <v>0.15456</v>
      </c>
      <c r="AW460" s="30" t="s">
        <v>1007</v>
      </c>
      <c r="AX460" s="30" t="s">
        <v>1008</v>
      </c>
      <c r="AY460" s="30" t="n">
        <v>1</v>
      </c>
      <c r="AZ460" s="30"/>
    </row>
    <row collapsed="false" customFormat="true" customHeight="true" hidden="false" ht="33" outlineLevel="0" r="461" s="73">
      <c r="A461" s="30" t="n">
        <v>498</v>
      </c>
      <c r="B461" s="30" t="s">
        <v>695</v>
      </c>
      <c r="C461" s="30" t="s">
        <v>1009</v>
      </c>
      <c r="D461" s="30" t="s">
        <v>999</v>
      </c>
      <c r="E461" s="30" t="s">
        <v>1000</v>
      </c>
      <c r="F461" s="30" t="s">
        <v>1011</v>
      </c>
      <c r="G461" s="30" t="s">
        <v>1002</v>
      </c>
      <c r="H461" s="30" t="s">
        <v>1003</v>
      </c>
      <c r="I461" s="30" t="n">
        <v>1</v>
      </c>
      <c r="J461" s="30"/>
      <c r="K461" s="30" t="n">
        <v>57</v>
      </c>
      <c r="L461" s="30"/>
      <c r="M461" s="30" t="s">
        <v>1004</v>
      </c>
      <c r="N461" s="30" t="s">
        <v>54</v>
      </c>
      <c r="O461" s="30"/>
      <c r="P461" s="30"/>
      <c r="Q461" s="30"/>
      <c r="R461" s="30"/>
      <c r="S461" s="30"/>
      <c r="T461" s="30"/>
      <c r="U461" s="30" t="n">
        <v>118.07</v>
      </c>
      <c r="V461" s="30" t="n">
        <v>222.64</v>
      </c>
      <c r="W461" s="30" t="n">
        <v>32.59</v>
      </c>
      <c r="X461" s="30" t="s">
        <v>1005</v>
      </c>
      <c r="Y461" s="30" t="n">
        <v>19.53</v>
      </c>
      <c r="Z461" s="30" t="s">
        <v>1005</v>
      </c>
      <c r="AA461" s="30" t="n">
        <v>25.18</v>
      </c>
      <c r="AB461" s="30" t="s">
        <v>1005</v>
      </c>
      <c r="AC461" s="30" t="n">
        <v>11.93</v>
      </c>
      <c r="AD461" s="30" t="s">
        <v>1005</v>
      </c>
      <c r="AE461" s="30" t="n">
        <v>5.46</v>
      </c>
      <c r="AF461" s="30" t="s">
        <v>1006</v>
      </c>
      <c r="AG461" s="30" t="n">
        <v>0</v>
      </c>
      <c r="AH461" s="30" t="s">
        <v>1006</v>
      </c>
      <c r="AI461" s="30" t="n">
        <v>0</v>
      </c>
      <c r="AJ461" s="30" t="s">
        <v>1006</v>
      </c>
      <c r="AK461" s="30" t="n">
        <v>0</v>
      </c>
      <c r="AL461" s="30" t="s">
        <v>1006</v>
      </c>
      <c r="AM461" s="30" t="n">
        <v>0</v>
      </c>
      <c r="AN461" s="30" t="s">
        <v>1006</v>
      </c>
      <c r="AO461" s="30" t="n">
        <v>11.41</v>
      </c>
      <c r="AP461" s="30" t="s">
        <v>1005</v>
      </c>
      <c r="AQ461" s="30" t="n">
        <v>11.18</v>
      </c>
      <c r="AR461" s="30" t="s">
        <v>1005</v>
      </c>
      <c r="AS461" s="30" t="n">
        <v>15.62</v>
      </c>
      <c r="AT461" s="30" t="s">
        <v>1005</v>
      </c>
      <c r="AU461" s="30" t="n">
        <v>132.9</v>
      </c>
      <c r="AV461" s="30" t="n">
        <v>0.069</v>
      </c>
      <c r="AW461" s="30" t="s">
        <v>1007</v>
      </c>
      <c r="AX461" s="30" t="s">
        <v>1008</v>
      </c>
      <c r="AY461" s="30" t="n">
        <v>1</v>
      </c>
      <c r="AZ461" s="30"/>
    </row>
    <row collapsed="false" customFormat="true" customHeight="true" hidden="false" ht="33" outlineLevel="0" r="462" s="73">
      <c r="A462" s="30" t="n">
        <v>499</v>
      </c>
      <c r="B462" s="30" t="s">
        <v>696</v>
      </c>
      <c r="C462" s="30" t="s">
        <v>1009</v>
      </c>
      <c r="D462" s="30" t="s">
        <v>999</v>
      </c>
      <c r="E462" s="30" t="s">
        <v>1000</v>
      </c>
      <c r="F462" s="30" t="s">
        <v>1011</v>
      </c>
      <c r="G462" s="30" t="s">
        <v>1002</v>
      </c>
      <c r="H462" s="30" t="s">
        <v>1003</v>
      </c>
      <c r="I462" s="30" t="n">
        <v>1</v>
      </c>
      <c r="J462" s="30"/>
      <c r="K462" s="30" t="n">
        <v>57</v>
      </c>
      <c r="L462" s="30"/>
      <c r="M462" s="30" t="s">
        <v>1004</v>
      </c>
      <c r="N462" s="30" t="s">
        <v>54</v>
      </c>
      <c r="O462" s="30"/>
      <c r="P462" s="30"/>
      <c r="Q462" s="30"/>
      <c r="R462" s="30"/>
      <c r="S462" s="30"/>
      <c r="T462" s="30"/>
      <c r="U462" s="30" t="n">
        <v>86.4</v>
      </c>
      <c r="V462" s="30" t="n">
        <v>134.13</v>
      </c>
      <c r="W462" s="30" t="n">
        <v>32.24</v>
      </c>
      <c r="X462" s="30" t="s">
        <v>1005</v>
      </c>
      <c r="Y462" s="30" t="n">
        <v>21.71</v>
      </c>
      <c r="Z462" s="30" t="s">
        <v>1005</v>
      </c>
      <c r="AA462" s="30" t="n">
        <v>26.43</v>
      </c>
      <c r="AB462" s="30" t="s">
        <v>1005</v>
      </c>
      <c r="AC462" s="30" t="n">
        <v>11.59</v>
      </c>
      <c r="AD462" s="30" t="s">
        <v>1005</v>
      </c>
      <c r="AE462" s="30" t="n">
        <v>6.97</v>
      </c>
      <c r="AF462" s="30" t="s">
        <v>1005</v>
      </c>
      <c r="AG462" s="30" t="n">
        <v>0</v>
      </c>
      <c r="AH462" s="30" t="s">
        <v>1005</v>
      </c>
      <c r="AI462" s="30" t="n">
        <v>0</v>
      </c>
      <c r="AJ462" s="30" t="s">
        <v>1005</v>
      </c>
      <c r="AK462" s="30" t="n">
        <v>0</v>
      </c>
      <c r="AL462" s="30" t="s">
        <v>1005</v>
      </c>
      <c r="AM462" s="30" t="n">
        <v>0</v>
      </c>
      <c r="AN462" s="30" t="s">
        <v>1005</v>
      </c>
      <c r="AO462" s="30" t="n">
        <v>9.01</v>
      </c>
      <c r="AP462" s="30" t="s">
        <v>1005</v>
      </c>
      <c r="AQ462" s="30" t="n">
        <v>11.05</v>
      </c>
      <c r="AR462" s="30" t="s">
        <v>1005</v>
      </c>
      <c r="AS462" s="30" t="n">
        <v>16.55</v>
      </c>
      <c r="AT462" s="30" t="s">
        <v>1005</v>
      </c>
      <c r="AU462" s="30" t="n">
        <v>135.55</v>
      </c>
      <c r="AV462" s="30" t="n">
        <v>0.063</v>
      </c>
      <c r="AW462" s="30" t="s">
        <v>1007</v>
      </c>
      <c r="AX462" s="30" t="s">
        <v>1008</v>
      </c>
      <c r="AY462" s="30" t="n">
        <v>1</v>
      </c>
      <c r="AZ462" s="30"/>
    </row>
    <row collapsed="false" customFormat="true" customHeight="true" hidden="false" ht="33" outlineLevel="0" r="463" s="73">
      <c r="A463" s="30" t="n">
        <v>501</v>
      </c>
      <c r="B463" s="30" t="s">
        <v>698</v>
      </c>
      <c r="C463" s="30" t="s">
        <v>1009</v>
      </c>
      <c r="D463" s="30" t="s">
        <v>999</v>
      </c>
      <c r="E463" s="30" t="s">
        <v>1000</v>
      </c>
      <c r="F463" s="30" t="s">
        <v>1011</v>
      </c>
      <c r="G463" s="30" t="s">
        <v>1002</v>
      </c>
      <c r="H463" s="30" t="s">
        <v>1003</v>
      </c>
      <c r="I463" s="30" t="n">
        <v>1</v>
      </c>
      <c r="J463" s="30"/>
      <c r="K463" s="30" t="n">
        <v>76</v>
      </c>
      <c r="L463" s="30"/>
      <c r="M463" s="30" t="s">
        <v>1004</v>
      </c>
      <c r="N463" s="30" t="s">
        <v>53</v>
      </c>
      <c r="O463" s="30"/>
      <c r="P463" s="30"/>
      <c r="Q463" s="30"/>
      <c r="R463" s="30"/>
      <c r="S463" s="30"/>
      <c r="T463" s="30"/>
      <c r="U463" s="30" t="n">
        <v>1774.46</v>
      </c>
      <c r="V463" s="30" t="n">
        <v>1596.64</v>
      </c>
      <c r="W463" s="30" t="n">
        <v>158.08</v>
      </c>
      <c r="X463" s="30" t="s">
        <v>1006</v>
      </c>
      <c r="Y463" s="30" t="n">
        <v>229.5</v>
      </c>
      <c r="Z463" s="30" t="s">
        <v>1006</v>
      </c>
      <c r="AA463" s="30" t="n">
        <v>237.63</v>
      </c>
      <c r="AB463" s="30" t="s">
        <v>1006</v>
      </c>
      <c r="AC463" s="30" t="n">
        <v>231.51</v>
      </c>
      <c r="AD463" s="30" t="s">
        <v>1006</v>
      </c>
      <c r="AE463" s="30" t="n">
        <v>119.59</v>
      </c>
      <c r="AF463" s="30" t="s">
        <v>1006</v>
      </c>
      <c r="AG463" s="30" t="n">
        <v>61.74</v>
      </c>
      <c r="AH463" s="30" t="s">
        <v>1006</v>
      </c>
      <c r="AI463" s="30" t="n">
        <v>52.98</v>
      </c>
      <c r="AJ463" s="30" t="s">
        <v>1006</v>
      </c>
      <c r="AK463" s="30" t="n">
        <v>52.71</v>
      </c>
      <c r="AL463" s="30" t="s">
        <v>1006</v>
      </c>
      <c r="AM463" s="30" t="n">
        <v>73.63</v>
      </c>
      <c r="AN463" s="30" t="s">
        <v>1006</v>
      </c>
      <c r="AO463" s="30" t="n">
        <v>110.28</v>
      </c>
      <c r="AP463" s="30" t="s">
        <v>1005</v>
      </c>
      <c r="AQ463" s="30" t="n">
        <v>163.3</v>
      </c>
      <c r="AR463" s="30" t="s">
        <v>1005</v>
      </c>
      <c r="AS463" s="30" t="n">
        <v>207.84</v>
      </c>
      <c r="AT463" s="30" t="s">
        <v>1006</v>
      </c>
      <c r="AU463" s="30" t="n">
        <v>1698.79</v>
      </c>
      <c r="AV463" s="30" t="n">
        <v>0.6243</v>
      </c>
      <c r="AW463" s="30" t="s">
        <v>1007</v>
      </c>
      <c r="AX463" s="30" t="s">
        <v>1008</v>
      </c>
      <c r="AY463" s="30" t="n">
        <v>1</v>
      </c>
      <c r="AZ463" s="30"/>
    </row>
    <row collapsed="false" customFormat="true" customHeight="true" hidden="false" ht="33" outlineLevel="0" r="464" s="73">
      <c r="A464" s="30" t="n">
        <v>502</v>
      </c>
      <c r="B464" s="30" t="s">
        <v>700</v>
      </c>
      <c r="C464" s="30" t="s">
        <v>1009</v>
      </c>
      <c r="D464" s="30" t="s">
        <v>999</v>
      </c>
      <c r="E464" s="30" t="s">
        <v>1000</v>
      </c>
      <c r="F464" s="30" t="s">
        <v>1014</v>
      </c>
      <c r="G464" s="30" t="s">
        <v>1002</v>
      </c>
      <c r="H464" s="30" t="s">
        <v>1003</v>
      </c>
      <c r="I464" s="30" t="n">
        <v>1</v>
      </c>
      <c r="J464" s="30"/>
      <c r="K464" s="30" t="n">
        <v>76</v>
      </c>
      <c r="L464" s="30" t="n">
        <v>10</v>
      </c>
      <c r="M464" s="30" t="s">
        <v>1004</v>
      </c>
      <c r="N464" s="30" t="s">
        <v>54</v>
      </c>
      <c r="O464" s="30"/>
      <c r="P464" s="30"/>
      <c r="Q464" s="30"/>
      <c r="R464" s="30"/>
      <c r="S464" s="30"/>
      <c r="T464" s="30"/>
      <c r="U464" s="30" t="n">
        <v>270.96</v>
      </c>
      <c r="V464" s="30" t="n">
        <v>283.38</v>
      </c>
      <c r="W464" s="30" t="n">
        <v>61.48</v>
      </c>
      <c r="X464" s="30" t="s">
        <v>1005</v>
      </c>
      <c r="Y464" s="30" t="n">
        <v>42.18</v>
      </c>
      <c r="Z464" s="30" t="s">
        <v>1005</v>
      </c>
      <c r="AA464" s="30" t="n">
        <v>54.54</v>
      </c>
      <c r="AB464" s="30" t="s">
        <v>1005</v>
      </c>
      <c r="AC464" s="30" t="n">
        <v>19.51</v>
      </c>
      <c r="AD464" s="30" t="s">
        <v>1005</v>
      </c>
      <c r="AE464" s="30" t="n">
        <v>11.55</v>
      </c>
      <c r="AF464" s="30" t="s">
        <v>1005</v>
      </c>
      <c r="AG464" s="30" t="n">
        <v>0</v>
      </c>
      <c r="AH464" s="30"/>
      <c r="AI464" s="30" t="n">
        <v>0</v>
      </c>
      <c r="AJ464" s="30"/>
      <c r="AK464" s="30" t="n">
        <v>0</v>
      </c>
      <c r="AL464" s="30"/>
      <c r="AM464" s="30" t="n">
        <v>0</v>
      </c>
      <c r="AN464" s="30" t="s">
        <v>1005</v>
      </c>
      <c r="AO464" s="30" t="n">
        <v>24.45</v>
      </c>
      <c r="AP464" s="30" t="s">
        <v>1005</v>
      </c>
      <c r="AQ464" s="30" t="n">
        <v>27.73</v>
      </c>
      <c r="AR464" s="30" t="s">
        <v>1005</v>
      </c>
      <c r="AS464" s="30" t="n">
        <v>36.29</v>
      </c>
      <c r="AT464" s="30" t="s">
        <v>1005</v>
      </c>
      <c r="AU464" s="30" t="n">
        <v>277.73</v>
      </c>
      <c r="AV464" s="30" t="n">
        <v>0.14248</v>
      </c>
      <c r="AW464" s="30" t="s">
        <v>1007</v>
      </c>
      <c r="AX464" s="30" t="s">
        <v>1008</v>
      </c>
      <c r="AY464" s="30" t="n">
        <v>1</v>
      </c>
      <c r="AZ464" s="30"/>
    </row>
    <row collapsed="false" customFormat="true" customHeight="true" hidden="false" ht="33" outlineLevel="0" r="465" s="73">
      <c r="A465" s="30" t="n">
        <v>503</v>
      </c>
      <c r="B465" s="30" t="s">
        <v>701</v>
      </c>
      <c r="C465" s="30" t="s">
        <v>1009</v>
      </c>
      <c r="D465" s="30" t="s">
        <v>999</v>
      </c>
      <c r="E465" s="30" t="s">
        <v>1010</v>
      </c>
      <c r="F465" s="30" t="s">
        <v>1011</v>
      </c>
      <c r="G465" s="30" t="s">
        <v>1002</v>
      </c>
      <c r="H465" s="30" t="s">
        <v>1003</v>
      </c>
      <c r="I465" s="30" t="n">
        <v>1</v>
      </c>
      <c r="J465" s="30"/>
      <c r="K465" s="30" t="n">
        <v>45</v>
      </c>
      <c r="L465" s="30"/>
      <c r="M465" s="30" t="s">
        <v>1017</v>
      </c>
      <c r="N465" s="30" t="s">
        <v>54</v>
      </c>
      <c r="O465" s="30"/>
      <c r="P465" s="30"/>
      <c r="Q465" s="30"/>
      <c r="R465" s="30"/>
      <c r="S465" s="30"/>
      <c r="T465" s="30"/>
      <c r="U465" s="30" t="n">
        <v>151.44</v>
      </c>
      <c r="V465" s="30" t="n">
        <v>232.88</v>
      </c>
      <c r="W465" s="30" t="n">
        <v>50.56</v>
      </c>
      <c r="X465" s="30" t="s">
        <v>1005</v>
      </c>
      <c r="Y465" s="30" t="n">
        <v>51.81</v>
      </c>
      <c r="Z465" s="30" t="s">
        <v>1005</v>
      </c>
      <c r="AA465" s="30" t="n">
        <v>46.91</v>
      </c>
      <c r="AB465" s="30" t="s">
        <v>1005</v>
      </c>
      <c r="AC465" s="30" t="n">
        <v>14.2</v>
      </c>
      <c r="AD465" s="30" t="s">
        <v>1005</v>
      </c>
      <c r="AE465" s="30" t="n">
        <v>9</v>
      </c>
      <c r="AF465" s="30" t="s">
        <v>1005</v>
      </c>
      <c r="AG465" s="30" t="n">
        <v>0</v>
      </c>
      <c r="AH465" s="30" t="s">
        <v>1005</v>
      </c>
      <c r="AI465" s="30" t="n">
        <v>0</v>
      </c>
      <c r="AJ465" s="30" t="s">
        <v>1005</v>
      </c>
      <c r="AK465" s="30" t="n">
        <v>0</v>
      </c>
      <c r="AL465" s="30" t="s">
        <v>1005</v>
      </c>
      <c r="AM465" s="30" t="n">
        <v>0</v>
      </c>
      <c r="AN465" s="30" t="s">
        <v>1005</v>
      </c>
      <c r="AO465" s="30" t="n">
        <v>20.91</v>
      </c>
      <c r="AP465" s="30" t="s">
        <v>1005</v>
      </c>
      <c r="AQ465" s="30" t="n">
        <v>20.17</v>
      </c>
      <c r="AR465" s="30" t="s">
        <v>1005</v>
      </c>
      <c r="AS465" s="30" t="n">
        <v>29.42</v>
      </c>
      <c r="AT465" s="30" t="s">
        <v>1005</v>
      </c>
      <c r="AU465" s="30" t="n">
        <v>242.98</v>
      </c>
      <c r="AV465" s="30" t="n">
        <v>0.0977</v>
      </c>
      <c r="AW465" s="30" t="s">
        <v>1018</v>
      </c>
      <c r="AX465" s="30" t="s">
        <v>1008</v>
      </c>
      <c r="AY465" s="30" t="n">
        <v>1</v>
      </c>
      <c r="AZ465" s="30"/>
    </row>
    <row collapsed="false" customFormat="true" customHeight="true" hidden="false" ht="33" outlineLevel="0" r="466" s="73">
      <c r="A466" s="30" t="n">
        <v>504</v>
      </c>
      <c r="B466" s="30" t="s">
        <v>702</v>
      </c>
      <c r="C466" s="30" t="s">
        <v>1009</v>
      </c>
      <c r="D466" s="30" t="s">
        <v>999</v>
      </c>
      <c r="E466" s="30" t="s">
        <v>1010</v>
      </c>
      <c r="F466" s="30" t="s">
        <v>1011</v>
      </c>
      <c r="G466" s="30" t="s">
        <v>1002</v>
      </c>
      <c r="H466" s="30" t="s">
        <v>1003</v>
      </c>
      <c r="I466" s="30" t="n">
        <v>1</v>
      </c>
      <c r="J466" s="30"/>
      <c r="K466" s="30" t="n">
        <v>45</v>
      </c>
      <c r="L466" s="30"/>
      <c r="M466" s="30" t="s">
        <v>1017</v>
      </c>
      <c r="N466" s="30" t="s">
        <v>54</v>
      </c>
      <c r="O466" s="30"/>
      <c r="P466" s="30"/>
      <c r="Q466" s="30"/>
      <c r="R466" s="30"/>
      <c r="S466" s="30"/>
      <c r="T466" s="30"/>
      <c r="U466" s="30" t="n">
        <v>88.81</v>
      </c>
      <c r="V466" s="30" t="n">
        <v>231.41</v>
      </c>
      <c r="W466" s="30" t="n">
        <v>51.69</v>
      </c>
      <c r="X466" s="30" t="s">
        <v>1005</v>
      </c>
      <c r="Y466" s="30" t="n">
        <v>31.19</v>
      </c>
      <c r="Z466" s="30" t="s">
        <v>1005</v>
      </c>
      <c r="AA466" s="30" t="n">
        <v>45.71</v>
      </c>
      <c r="AB466" s="30" t="s">
        <v>1005</v>
      </c>
      <c r="AC466" s="30" t="n">
        <v>12.17</v>
      </c>
      <c r="AD466" s="30" t="s">
        <v>1005</v>
      </c>
      <c r="AE466" s="30" t="n">
        <v>7.96</v>
      </c>
      <c r="AF466" s="30" t="s">
        <v>1005</v>
      </c>
      <c r="AG466" s="30" t="n">
        <v>0</v>
      </c>
      <c r="AH466" s="30" t="s">
        <v>1005</v>
      </c>
      <c r="AI466" s="30" t="n">
        <v>0</v>
      </c>
      <c r="AJ466" s="30" t="s">
        <v>1005</v>
      </c>
      <c r="AK466" s="30" t="n">
        <v>0</v>
      </c>
      <c r="AL466" s="30" t="s">
        <v>1005</v>
      </c>
      <c r="AM466" s="30" t="n">
        <v>0</v>
      </c>
      <c r="AN466" s="30" t="s">
        <v>1005</v>
      </c>
      <c r="AO466" s="30" t="n">
        <v>20.47</v>
      </c>
      <c r="AP466" s="30" t="s">
        <v>1005</v>
      </c>
      <c r="AQ466" s="30" t="n">
        <v>18.26</v>
      </c>
      <c r="AR466" s="30" t="s">
        <v>1005</v>
      </c>
      <c r="AS466" s="30" t="n">
        <v>27.7</v>
      </c>
      <c r="AT466" s="30" t="s">
        <v>1005</v>
      </c>
      <c r="AU466" s="30" t="n">
        <v>215.15</v>
      </c>
      <c r="AV466" s="30" t="n">
        <v>0.0957</v>
      </c>
      <c r="AW466" s="30" t="s">
        <v>1018</v>
      </c>
      <c r="AX466" s="30" t="s">
        <v>1008</v>
      </c>
      <c r="AY466" s="30" t="n">
        <v>1</v>
      </c>
      <c r="AZ466" s="30"/>
    </row>
    <row collapsed="false" customFormat="true" customHeight="true" hidden="false" ht="33" outlineLevel="0" r="467" s="73">
      <c r="A467" s="30" t="n">
        <v>506</v>
      </c>
      <c r="B467" s="30" t="s">
        <v>704</v>
      </c>
      <c r="C467" s="30" t="s">
        <v>1009</v>
      </c>
      <c r="D467" s="30" t="s">
        <v>999</v>
      </c>
      <c r="E467" s="30" t="s">
        <v>1010</v>
      </c>
      <c r="F467" s="30" t="s">
        <v>1011</v>
      </c>
      <c r="G467" s="30" t="s">
        <v>1002</v>
      </c>
      <c r="H467" s="30" t="s">
        <v>1003</v>
      </c>
      <c r="I467" s="30" t="n">
        <v>1</v>
      </c>
      <c r="J467" s="30"/>
      <c r="K467" s="30" t="n">
        <v>76</v>
      </c>
      <c r="L467" s="30"/>
      <c r="M467" s="30" t="s">
        <v>1017</v>
      </c>
      <c r="N467" s="30" t="s">
        <v>54</v>
      </c>
      <c r="O467" s="30"/>
      <c r="P467" s="30"/>
      <c r="Q467" s="30"/>
      <c r="R467" s="30"/>
      <c r="S467" s="30"/>
      <c r="T467" s="30"/>
      <c r="U467" s="30" t="n">
        <v>315.43</v>
      </c>
      <c r="V467" s="30" t="n">
        <v>435.82</v>
      </c>
      <c r="W467" s="30" t="n">
        <v>83.84</v>
      </c>
      <c r="X467" s="30" t="s">
        <v>1005</v>
      </c>
      <c r="Y467" s="30" t="n">
        <v>61.01</v>
      </c>
      <c r="Z467" s="30" t="s">
        <v>1005</v>
      </c>
      <c r="AA467" s="30" t="n">
        <v>79</v>
      </c>
      <c r="AB467" s="30" t="s">
        <v>1005</v>
      </c>
      <c r="AC467" s="30" t="n">
        <v>24.2</v>
      </c>
      <c r="AD467" s="30" t="s">
        <v>1005</v>
      </c>
      <c r="AE467" s="30" t="n">
        <v>15.37</v>
      </c>
      <c r="AF467" s="30" t="s">
        <v>1005</v>
      </c>
      <c r="AG467" s="30" t="n">
        <v>0</v>
      </c>
      <c r="AH467" s="30" t="s">
        <v>1005</v>
      </c>
      <c r="AI467" s="30" t="n">
        <v>0</v>
      </c>
      <c r="AJ467" s="30" t="s">
        <v>1005</v>
      </c>
      <c r="AK467" s="30" t="n">
        <v>0</v>
      </c>
      <c r="AL467" s="30" t="s">
        <v>1005</v>
      </c>
      <c r="AM467" s="30" t="n">
        <v>0</v>
      </c>
      <c r="AN467" s="30" t="s">
        <v>1005</v>
      </c>
      <c r="AO467" s="30" t="n">
        <v>33.54</v>
      </c>
      <c r="AP467" s="30" t="s">
        <v>1005</v>
      </c>
      <c r="AQ467" s="30" t="n">
        <v>34.08</v>
      </c>
      <c r="AR467" s="30" t="s">
        <v>1005</v>
      </c>
      <c r="AS467" s="30" t="n">
        <v>48.44</v>
      </c>
      <c r="AT467" s="30" t="s">
        <v>1005</v>
      </c>
      <c r="AU467" s="30" t="n">
        <v>379.48</v>
      </c>
      <c r="AV467" s="30" t="n">
        <v>0.2105</v>
      </c>
      <c r="AW467" s="30" t="s">
        <v>1018</v>
      </c>
      <c r="AX467" s="30" t="s">
        <v>1008</v>
      </c>
      <c r="AY467" s="30" t="n">
        <v>1</v>
      </c>
      <c r="AZ467" s="30"/>
    </row>
    <row collapsed="false" customFormat="true" customHeight="true" hidden="false" ht="33" outlineLevel="0" r="468" s="73">
      <c r="A468" s="30" t="n">
        <v>507</v>
      </c>
      <c r="B468" s="30" t="s">
        <v>705</v>
      </c>
      <c r="C468" s="30" t="s">
        <v>1009</v>
      </c>
      <c r="D468" s="30" t="s">
        <v>999</v>
      </c>
      <c r="E468" s="30" t="s">
        <v>1010</v>
      </c>
      <c r="F468" s="30" t="s">
        <v>1011</v>
      </c>
      <c r="G468" s="30" t="s">
        <v>1002</v>
      </c>
      <c r="H468" s="30" t="s">
        <v>1003</v>
      </c>
      <c r="I468" s="30" t="n">
        <v>1</v>
      </c>
      <c r="J468" s="30"/>
      <c r="K468" s="30" t="n">
        <v>57</v>
      </c>
      <c r="L468" s="30"/>
      <c r="M468" s="30" t="s">
        <v>1017</v>
      </c>
      <c r="N468" s="30" t="s">
        <v>54</v>
      </c>
      <c r="O468" s="30"/>
      <c r="P468" s="30"/>
      <c r="Q468" s="30"/>
      <c r="R468" s="30"/>
      <c r="S468" s="30"/>
      <c r="T468" s="30"/>
      <c r="U468" s="30" t="n">
        <v>146.74</v>
      </c>
      <c r="V468" s="30" t="n">
        <v>204.88</v>
      </c>
      <c r="W468" s="30" t="n">
        <v>46.81</v>
      </c>
      <c r="X468" s="30" t="s">
        <v>1005</v>
      </c>
      <c r="Y468" s="30" t="n">
        <v>32.82</v>
      </c>
      <c r="Z468" s="30" t="s">
        <v>1005</v>
      </c>
      <c r="AA468" s="30" t="n">
        <v>37.18</v>
      </c>
      <c r="AB468" s="30" t="s">
        <v>1005</v>
      </c>
      <c r="AC468" s="30" t="n">
        <v>11.84</v>
      </c>
      <c r="AD468" s="30" t="s">
        <v>1005</v>
      </c>
      <c r="AE468" s="30" t="n">
        <v>7.12</v>
      </c>
      <c r="AF468" s="30" t="s">
        <v>1005</v>
      </c>
      <c r="AG468" s="30" t="n">
        <v>0</v>
      </c>
      <c r="AH468" s="30" t="s">
        <v>1005</v>
      </c>
      <c r="AI468" s="30" t="n">
        <v>0</v>
      </c>
      <c r="AJ468" s="30" t="s">
        <v>1005</v>
      </c>
      <c r="AK468" s="30" t="n">
        <v>0</v>
      </c>
      <c r="AL468" s="30" t="s">
        <v>1005</v>
      </c>
      <c r="AM468" s="30" t="n">
        <v>0</v>
      </c>
      <c r="AN468" s="30" t="s">
        <v>1005</v>
      </c>
      <c r="AO468" s="30" t="n">
        <v>17.01</v>
      </c>
      <c r="AP468" s="30" t="s">
        <v>1005</v>
      </c>
      <c r="AQ468" s="30" t="n">
        <v>16.34</v>
      </c>
      <c r="AR468" s="30" t="s">
        <v>1005</v>
      </c>
      <c r="AS468" s="30" t="n">
        <v>24.09</v>
      </c>
      <c r="AT468" s="30" t="s">
        <v>1005</v>
      </c>
      <c r="AU468" s="30" t="n">
        <v>193.21</v>
      </c>
      <c r="AV468" s="30" t="n">
        <v>0.0922</v>
      </c>
      <c r="AW468" s="30" t="s">
        <v>1018</v>
      </c>
      <c r="AX468" s="30" t="s">
        <v>1008</v>
      </c>
      <c r="AY468" s="30" t="n">
        <v>1</v>
      </c>
      <c r="AZ468" s="30"/>
    </row>
    <row collapsed="false" customFormat="true" customHeight="true" hidden="false" ht="33" outlineLevel="0" r="469" s="73">
      <c r="A469" s="30" t="n">
        <v>508</v>
      </c>
      <c r="B469" s="30" t="s">
        <v>706</v>
      </c>
      <c r="C469" s="30" t="s">
        <v>1009</v>
      </c>
      <c r="D469" s="30" t="s">
        <v>999</v>
      </c>
      <c r="E469" s="30" t="s">
        <v>1010</v>
      </c>
      <c r="F469" s="30" t="s">
        <v>1011</v>
      </c>
      <c r="G469" s="30" t="s">
        <v>1002</v>
      </c>
      <c r="H469" s="30" t="s">
        <v>1003</v>
      </c>
      <c r="I469" s="30" t="n">
        <v>1</v>
      </c>
      <c r="J469" s="30"/>
      <c r="K469" s="30" t="n">
        <v>76</v>
      </c>
      <c r="L469" s="30"/>
      <c r="M469" s="30" t="s">
        <v>1017</v>
      </c>
      <c r="N469" s="30" t="s">
        <v>54</v>
      </c>
      <c r="O469" s="30"/>
      <c r="P469" s="30"/>
      <c r="Q469" s="30"/>
      <c r="R469" s="30"/>
      <c r="S469" s="30"/>
      <c r="T469" s="30"/>
      <c r="U469" s="30" t="n">
        <v>285.92</v>
      </c>
      <c r="V469" s="30" t="n">
        <v>396.45</v>
      </c>
      <c r="W469" s="30" t="n">
        <v>72.16</v>
      </c>
      <c r="X469" s="30" t="s">
        <v>1005</v>
      </c>
      <c r="Y469" s="30" t="n">
        <v>49.31</v>
      </c>
      <c r="Z469" s="30" t="s">
        <v>1005</v>
      </c>
      <c r="AA469" s="30" t="n">
        <v>29.64</v>
      </c>
      <c r="AB469" s="30" t="s">
        <v>1006</v>
      </c>
      <c r="AC469" s="30" t="n">
        <v>27.73</v>
      </c>
      <c r="AD469" s="30" t="s">
        <v>1005</v>
      </c>
      <c r="AE469" s="30" t="n">
        <v>13.42</v>
      </c>
      <c r="AF469" s="30" t="s">
        <v>1005</v>
      </c>
      <c r="AG469" s="30" t="n">
        <v>0</v>
      </c>
      <c r="AH469" s="30" t="s">
        <v>1005</v>
      </c>
      <c r="AI469" s="30" t="n">
        <v>0</v>
      </c>
      <c r="AJ469" s="30" t="s">
        <v>1005</v>
      </c>
      <c r="AK469" s="30" t="n">
        <v>0</v>
      </c>
      <c r="AL469" s="30" t="s">
        <v>1005</v>
      </c>
      <c r="AM469" s="30" t="n">
        <v>0</v>
      </c>
      <c r="AN469" s="30" t="s">
        <v>1005</v>
      </c>
      <c r="AO469" s="30" t="n">
        <v>27.62</v>
      </c>
      <c r="AP469" s="30" t="s">
        <v>1005</v>
      </c>
      <c r="AQ469" s="30" t="n">
        <v>27.47</v>
      </c>
      <c r="AR469" s="30" t="s">
        <v>1005</v>
      </c>
      <c r="AS469" s="30" t="n">
        <v>39.9</v>
      </c>
      <c r="AT469" s="30" t="s">
        <v>1005</v>
      </c>
      <c r="AU469" s="30" t="n">
        <v>287.25</v>
      </c>
      <c r="AV469" s="30" t="n">
        <v>0.119</v>
      </c>
      <c r="AW469" s="30" t="s">
        <v>1018</v>
      </c>
      <c r="AX469" s="30" t="s">
        <v>1008</v>
      </c>
      <c r="AY469" s="30" t="n">
        <v>1</v>
      </c>
      <c r="AZ469" s="30"/>
    </row>
    <row collapsed="false" customFormat="true" customHeight="true" hidden="false" ht="33" outlineLevel="0" r="470" s="73">
      <c r="A470" s="30" t="n">
        <v>511</v>
      </c>
      <c r="B470" s="30" t="s">
        <v>709</v>
      </c>
      <c r="C470" s="30" t="s">
        <v>1009</v>
      </c>
      <c r="D470" s="30" t="s">
        <v>999</v>
      </c>
      <c r="E470" s="30" t="s">
        <v>1010</v>
      </c>
      <c r="F470" s="30" t="s">
        <v>1011</v>
      </c>
      <c r="G470" s="30" t="s">
        <v>1002</v>
      </c>
      <c r="H470" s="30" t="s">
        <v>1003</v>
      </c>
      <c r="I470" s="30" t="n">
        <v>2</v>
      </c>
      <c r="J470" s="30"/>
      <c r="K470" s="30" t="n">
        <v>76</v>
      </c>
      <c r="L470" s="30"/>
      <c r="M470" s="30" t="s">
        <v>1017</v>
      </c>
      <c r="N470" s="30" t="s">
        <v>53</v>
      </c>
      <c r="O470" s="30"/>
      <c r="P470" s="30"/>
      <c r="Q470" s="30"/>
      <c r="R470" s="30"/>
      <c r="S470" s="30"/>
      <c r="T470" s="30"/>
      <c r="U470" s="30" t="n">
        <v>798.8</v>
      </c>
      <c r="V470" s="30" t="n">
        <v>1025.812</v>
      </c>
      <c r="W470" s="30" t="n">
        <v>186.18</v>
      </c>
      <c r="X470" s="30" t="s">
        <v>1005</v>
      </c>
      <c r="Y470" s="30" t="n">
        <v>138.61</v>
      </c>
      <c r="Z470" s="30" t="s">
        <v>1005</v>
      </c>
      <c r="AA470" s="30" t="n">
        <v>165.98</v>
      </c>
      <c r="AB470" s="30" t="s">
        <v>1005</v>
      </c>
      <c r="AC470" s="30" t="n">
        <v>71.67</v>
      </c>
      <c r="AD470" s="30" t="s">
        <v>1005</v>
      </c>
      <c r="AE470" s="30" t="n">
        <v>45.07</v>
      </c>
      <c r="AF470" s="30" t="s">
        <v>1005</v>
      </c>
      <c r="AG470" s="30" t="n">
        <v>27.15</v>
      </c>
      <c r="AH470" s="30" t="s">
        <v>1005</v>
      </c>
      <c r="AI470" s="30" t="n">
        <v>14.32</v>
      </c>
      <c r="AJ470" s="30" t="s">
        <v>1005</v>
      </c>
      <c r="AK470" s="30" t="n">
        <v>19.04</v>
      </c>
      <c r="AL470" s="30" t="s">
        <v>1005</v>
      </c>
      <c r="AM470" s="30" t="n">
        <v>22.18</v>
      </c>
      <c r="AN470" s="30" t="s">
        <v>1005</v>
      </c>
      <c r="AO470" s="30" t="n">
        <v>102.52</v>
      </c>
      <c r="AP470" s="30" t="s">
        <v>1005</v>
      </c>
      <c r="AQ470" s="30" t="n">
        <v>72.18</v>
      </c>
      <c r="AR470" s="30" t="s">
        <v>1005</v>
      </c>
      <c r="AS470" s="30" t="n">
        <v>107.3</v>
      </c>
      <c r="AT470" s="30" t="s">
        <v>1005</v>
      </c>
      <c r="AU470" s="30" t="n">
        <v>972.2</v>
      </c>
      <c r="AV470" s="30" t="n">
        <v>0.3232</v>
      </c>
      <c r="AW470" s="30" t="s">
        <v>1018</v>
      </c>
      <c r="AX470" s="30" t="s">
        <v>1008</v>
      </c>
      <c r="AY470" s="30" t="n">
        <v>1</v>
      </c>
      <c r="AZ470" s="30"/>
    </row>
    <row collapsed="false" customFormat="true" customHeight="true" hidden="false" ht="33" outlineLevel="0" r="471" s="73">
      <c r="A471" s="30" t="n">
        <v>512</v>
      </c>
      <c r="B471" s="30" t="s">
        <v>710</v>
      </c>
      <c r="C471" s="30" t="s">
        <v>1009</v>
      </c>
      <c r="D471" s="30" t="s">
        <v>999</v>
      </c>
      <c r="E471" s="30" t="s">
        <v>1010</v>
      </c>
      <c r="F471" s="30" t="s">
        <v>1011</v>
      </c>
      <c r="G471" s="30" t="s">
        <v>1002</v>
      </c>
      <c r="H471" s="30" t="s">
        <v>1003</v>
      </c>
      <c r="I471" s="30" t="n">
        <v>1</v>
      </c>
      <c r="J471" s="30"/>
      <c r="K471" s="30" t="n">
        <v>7</v>
      </c>
      <c r="L471" s="30"/>
      <c r="M471" s="30" t="s">
        <v>1017</v>
      </c>
      <c r="N471" s="30" t="s">
        <v>54</v>
      </c>
      <c r="O471" s="30"/>
      <c r="P471" s="30"/>
      <c r="Q471" s="30"/>
      <c r="R471" s="30"/>
      <c r="S471" s="30"/>
      <c r="T471" s="30"/>
      <c r="U471" s="30" t="n">
        <v>173.03</v>
      </c>
      <c r="V471" s="30" t="n">
        <v>196.62</v>
      </c>
      <c r="W471" s="30" t="n">
        <v>45.32</v>
      </c>
      <c r="X471" s="30" t="s">
        <v>1005</v>
      </c>
      <c r="Y471" s="30" t="n">
        <v>34.12</v>
      </c>
      <c r="Z471" s="30" t="s">
        <v>1005</v>
      </c>
      <c r="AA471" s="30" t="n">
        <v>42.16</v>
      </c>
      <c r="AB471" s="30" t="s">
        <v>1005</v>
      </c>
      <c r="AC471" s="30" t="n">
        <v>15.57</v>
      </c>
      <c r="AD471" s="30" t="s">
        <v>1005</v>
      </c>
      <c r="AE471" s="30" t="n">
        <v>8.6</v>
      </c>
      <c r="AF471" s="30" t="s">
        <v>1005</v>
      </c>
      <c r="AG471" s="30" t="n">
        <v>0</v>
      </c>
      <c r="AH471" s="30" t="s">
        <v>1005</v>
      </c>
      <c r="AI471" s="30" t="n">
        <v>0</v>
      </c>
      <c r="AJ471" s="30" t="s">
        <v>1005</v>
      </c>
      <c r="AK471" s="30" t="n">
        <v>0</v>
      </c>
      <c r="AL471" s="30" t="s">
        <v>1005</v>
      </c>
      <c r="AM471" s="30" t="n">
        <v>0</v>
      </c>
      <c r="AN471" s="30" t="s">
        <v>1005</v>
      </c>
      <c r="AO471" s="30" t="n">
        <v>19.62</v>
      </c>
      <c r="AP471" s="30" t="s">
        <v>1005</v>
      </c>
      <c r="AQ471" s="30" t="n">
        <v>19.92</v>
      </c>
      <c r="AR471" s="30" t="s">
        <v>1005</v>
      </c>
      <c r="AS471" s="30" t="n">
        <v>28.5</v>
      </c>
      <c r="AT471" s="30" t="s">
        <v>1005</v>
      </c>
      <c r="AU471" s="30" t="n">
        <v>213.81</v>
      </c>
      <c r="AV471" s="30" t="n">
        <v>0.0966</v>
      </c>
      <c r="AW471" s="30" t="s">
        <v>1018</v>
      </c>
      <c r="AX471" s="30" t="s">
        <v>1008</v>
      </c>
      <c r="AY471" s="30" t="n">
        <v>1</v>
      </c>
      <c r="AZ471" s="30"/>
    </row>
    <row collapsed="false" customFormat="true" customHeight="true" hidden="false" ht="33" outlineLevel="0" r="472" s="73">
      <c r="A472" s="30" t="n">
        <v>513</v>
      </c>
      <c r="B472" s="30" t="s">
        <v>711</v>
      </c>
      <c r="C472" s="30" t="s">
        <v>1009</v>
      </c>
      <c r="D472" s="30" t="s">
        <v>999</v>
      </c>
      <c r="E472" s="30" t="s">
        <v>1010</v>
      </c>
      <c r="F472" s="30" t="s">
        <v>1011</v>
      </c>
      <c r="G472" s="30" t="s">
        <v>1002</v>
      </c>
      <c r="H472" s="30" t="s">
        <v>1003</v>
      </c>
      <c r="I472" s="30" t="n">
        <v>1</v>
      </c>
      <c r="J472" s="30"/>
      <c r="K472" s="30" t="n">
        <v>57</v>
      </c>
      <c r="L472" s="30"/>
      <c r="M472" s="30" t="s">
        <v>1017</v>
      </c>
      <c r="N472" s="30" t="s">
        <v>54</v>
      </c>
      <c r="O472" s="30"/>
      <c r="P472" s="30"/>
      <c r="Q472" s="30"/>
      <c r="R472" s="30"/>
      <c r="S472" s="30"/>
      <c r="T472" s="30"/>
      <c r="U472" s="30" t="n">
        <v>359.63</v>
      </c>
      <c r="V472" s="30" t="n">
        <v>517.17</v>
      </c>
      <c r="W472" s="30" t="n">
        <v>103.9</v>
      </c>
      <c r="X472" s="30" t="s">
        <v>1005</v>
      </c>
      <c r="Y472" s="30" t="n">
        <v>75.24</v>
      </c>
      <c r="Z472" s="30" t="s">
        <v>1005</v>
      </c>
      <c r="AA472" s="30" t="n">
        <v>88.75</v>
      </c>
      <c r="AB472" s="30" t="s">
        <v>1005</v>
      </c>
      <c r="AC472" s="30" t="n">
        <v>27.13</v>
      </c>
      <c r="AD472" s="30" t="s">
        <v>1005</v>
      </c>
      <c r="AE472" s="30" t="n">
        <v>16.5</v>
      </c>
      <c r="AF472" s="30" t="s">
        <v>1005</v>
      </c>
      <c r="AG472" s="30" t="n">
        <v>0</v>
      </c>
      <c r="AH472" s="30" t="s">
        <v>1005</v>
      </c>
      <c r="AI472" s="30" t="n">
        <v>0</v>
      </c>
      <c r="AJ472" s="30" t="s">
        <v>1005</v>
      </c>
      <c r="AK472" s="30" t="n">
        <v>0</v>
      </c>
      <c r="AL472" s="30" t="s">
        <v>1005</v>
      </c>
      <c r="AM472" s="30" t="n">
        <v>0</v>
      </c>
      <c r="AN472" s="30" t="s">
        <v>1005</v>
      </c>
      <c r="AO472" s="30" t="n">
        <v>36.93</v>
      </c>
      <c r="AP472" s="30" t="s">
        <v>1005</v>
      </c>
      <c r="AQ472" s="30" t="n">
        <v>39.28</v>
      </c>
      <c r="AR472" s="30" t="s">
        <v>1005</v>
      </c>
      <c r="AS472" s="30" t="n">
        <v>59.27</v>
      </c>
      <c r="AT472" s="30" t="s">
        <v>1005</v>
      </c>
      <c r="AU472" s="30" t="n">
        <v>447</v>
      </c>
      <c r="AV472" s="30" t="n">
        <v>0.1969</v>
      </c>
      <c r="AW472" s="30" t="s">
        <v>1018</v>
      </c>
      <c r="AX472" s="30" t="s">
        <v>1008</v>
      </c>
      <c r="AY472" s="30" t="n">
        <v>1</v>
      </c>
      <c r="AZ472" s="30"/>
    </row>
    <row collapsed="false" customFormat="true" customHeight="true" hidden="false" ht="33" outlineLevel="0" r="473" s="73">
      <c r="A473" s="30" t="n">
        <v>514</v>
      </c>
      <c r="B473" s="30" t="s">
        <v>712</v>
      </c>
      <c r="C473" s="30" t="s">
        <v>1009</v>
      </c>
      <c r="D473" s="30" t="s">
        <v>999</v>
      </c>
      <c r="E473" s="30" t="s">
        <v>1010</v>
      </c>
      <c r="F473" s="30" t="s">
        <v>1011</v>
      </c>
      <c r="G473" s="30" t="s">
        <v>1002</v>
      </c>
      <c r="H473" s="30" t="s">
        <v>1003</v>
      </c>
      <c r="I473" s="30" t="n">
        <v>1</v>
      </c>
      <c r="J473" s="30"/>
      <c r="K473" s="30" t="n">
        <v>57</v>
      </c>
      <c r="L473" s="30"/>
      <c r="M473" s="30" t="s">
        <v>1017</v>
      </c>
      <c r="N473" s="30" t="s">
        <v>54</v>
      </c>
      <c r="O473" s="30"/>
      <c r="P473" s="30"/>
      <c r="Q473" s="30"/>
      <c r="R473" s="30"/>
      <c r="S473" s="30"/>
      <c r="T473" s="30"/>
      <c r="U473" s="30" t="n">
        <v>432.85</v>
      </c>
      <c r="V473" s="30" t="n">
        <v>590.41</v>
      </c>
      <c r="W473" s="30" t="n">
        <v>125.38</v>
      </c>
      <c r="X473" s="30" t="s">
        <v>1005</v>
      </c>
      <c r="Y473" s="30" t="n">
        <v>85.78</v>
      </c>
      <c r="Z473" s="30" t="s">
        <v>1005</v>
      </c>
      <c r="AA473" s="30" t="n">
        <v>103.09</v>
      </c>
      <c r="AB473" s="30" t="s">
        <v>1005</v>
      </c>
      <c r="AC473" s="30" t="n">
        <v>31.31</v>
      </c>
      <c r="AD473" s="30" t="s">
        <v>1005</v>
      </c>
      <c r="AE473" s="30" t="n">
        <v>21.07</v>
      </c>
      <c r="AF473" s="30" t="s">
        <v>1006</v>
      </c>
      <c r="AG473" s="30" t="n">
        <v>0</v>
      </c>
      <c r="AH473" s="30" t="s">
        <v>1006</v>
      </c>
      <c r="AI473" s="30" t="n">
        <v>0</v>
      </c>
      <c r="AJ473" s="30" t="s">
        <v>1006</v>
      </c>
      <c r="AK473" s="30" t="n">
        <v>0</v>
      </c>
      <c r="AL473" s="30" t="s">
        <v>1006</v>
      </c>
      <c r="AM473" s="30" t="n">
        <v>0</v>
      </c>
      <c r="AN473" s="30" t="s">
        <v>1006</v>
      </c>
      <c r="AO473" s="30" t="n">
        <v>41.21</v>
      </c>
      <c r="AP473" s="30" t="s">
        <v>1005</v>
      </c>
      <c r="AQ473" s="30" t="n">
        <v>43.43</v>
      </c>
      <c r="AR473" s="30" t="s">
        <v>1005</v>
      </c>
      <c r="AS473" s="30" t="n">
        <v>63.34</v>
      </c>
      <c r="AT473" s="30" t="s">
        <v>1005</v>
      </c>
      <c r="AU473" s="30" t="n">
        <v>514.61</v>
      </c>
      <c r="AV473" s="30" t="n">
        <v>0.2338</v>
      </c>
      <c r="AW473" s="30" t="s">
        <v>1018</v>
      </c>
      <c r="AX473" s="30" t="s">
        <v>1008</v>
      </c>
      <c r="AY473" s="30" t="n">
        <v>1</v>
      </c>
      <c r="AZ473" s="30"/>
    </row>
    <row collapsed="false" customFormat="true" customHeight="true" hidden="false" ht="33" outlineLevel="0" r="474" s="73">
      <c r="A474" s="30" t="n">
        <v>515</v>
      </c>
      <c r="B474" s="30" t="s">
        <v>713</v>
      </c>
      <c r="C474" s="30" t="s">
        <v>1009</v>
      </c>
      <c r="D474" s="30" t="s">
        <v>999</v>
      </c>
      <c r="E474" s="30" t="s">
        <v>1010</v>
      </c>
      <c r="F474" s="30" t="s">
        <v>1011</v>
      </c>
      <c r="G474" s="30" t="s">
        <v>1002</v>
      </c>
      <c r="H474" s="30" t="s">
        <v>1003</v>
      </c>
      <c r="I474" s="30" t="n">
        <v>1</v>
      </c>
      <c r="J474" s="30"/>
      <c r="K474" s="30" t="n">
        <v>57</v>
      </c>
      <c r="L474" s="30"/>
      <c r="M474" s="30" t="s">
        <v>1017</v>
      </c>
      <c r="N474" s="30" t="s">
        <v>54</v>
      </c>
      <c r="O474" s="30"/>
      <c r="P474" s="30"/>
      <c r="Q474" s="30"/>
      <c r="R474" s="30"/>
      <c r="S474" s="30"/>
      <c r="T474" s="30"/>
      <c r="U474" s="30" t="n">
        <v>110.23</v>
      </c>
      <c r="V474" s="30" t="n">
        <v>146.75</v>
      </c>
      <c r="W474" s="30" t="n">
        <v>28.46</v>
      </c>
      <c r="X474" s="30" t="s">
        <v>1005</v>
      </c>
      <c r="Y474" s="30" t="n">
        <v>20.52</v>
      </c>
      <c r="Z474" s="30" t="s">
        <v>1005</v>
      </c>
      <c r="AA474" s="30" t="n">
        <v>26.95</v>
      </c>
      <c r="AB474" s="30" t="s">
        <v>1005</v>
      </c>
      <c r="AC474" s="30" t="n">
        <v>8.82</v>
      </c>
      <c r="AD474" s="30" t="s">
        <v>1005</v>
      </c>
      <c r="AE474" s="30" t="n">
        <v>5.42</v>
      </c>
      <c r="AF474" s="30" t="s">
        <v>1005</v>
      </c>
      <c r="AG474" s="30" t="n">
        <v>0</v>
      </c>
      <c r="AH474" s="30" t="s">
        <v>1005</v>
      </c>
      <c r="AI474" s="30" t="n">
        <v>0</v>
      </c>
      <c r="AJ474" s="30" t="s">
        <v>1005</v>
      </c>
      <c r="AK474" s="30" t="n">
        <v>0</v>
      </c>
      <c r="AL474" s="30" t="s">
        <v>1005</v>
      </c>
      <c r="AM474" s="30" t="n">
        <v>0</v>
      </c>
      <c r="AN474" s="30" t="s">
        <v>1005</v>
      </c>
      <c r="AO474" s="30" t="n">
        <v>12.68</v>
      </c>
      <c r="AP474" s="30" t="s">
        <v>1005</v>
      </c>
      <c r="AQ474" s="30" t="n">
        <v>11.98</v>
      </c>
      <c r="AR474" s="30" t="s">
        <v>1005</v>
      </c>
      <c r="AS474" s="30" t="n">
        <v>19.15</v>
      </c>
      <c r="AT474" s="30" t="s">
        <v>1005</v>
      </c>
      <c r="AU474" s="30" t="n">
        <v>133.98</v>
      </c>
      <c r="AV474" s="30" t="n">
        <v>0.0707</v>
      </c>
      <c r="AW474" s="30" t="s">
        <v>1018</v>
      </c>
      <c r="AX474" s="30" t="s">
        <v>1008</v>
      </c>
      <c r="AY474" s="30" t="n">
        <v>1</v>
      </c>
      <c r="AZ474" s="30"/>
    </row>
    <row collapsed="false" customFormat="true" customHeight="true" hidden="false" ht="33" outlineLevel="0" r="475" s="73">
      <c r="A475" s="30" t="n">
        <v>516</v>
      </c>
      <c r="B475" s="30" t="s">
        <v>714</v>
      </c>
      <c r="C475" s="30" t="s">
        <v>1009</v>
      </c>
      <c r="D475" s="30" t="s">
        <v>999</v>
      </c>
      <c r="E475" s="30" t="s">
        <v>1010</v>
      </c>
      <c r="F475" s="30" t="s">
        <v>1011</v>
      </c>
      <c r="G475" s="30" t="s">
        <v>1002</v>
      </c>
      <c r="H475" s="30" t="s">
        <v>1003</v>
      </c>
      <c r="I475" s="30" t="n">
        <v>1</v>
      </c>
      <c r="J475" s="30"/>
      <c r="K475" s="30" t="n">
        <v>57</v>
      </c>
      <c r="L475" s="30"/>
      <c r="M475" s="30" t="s">
        <v>1017</v>
      </c>
      <c r="N475" s="30" t="s">
        <v>54</v>
      </c>
      <c r="O475" s="30"/>
      <c r="P475" s="30"/>
      <c r="Q475" s="30"/>
      <c r="R475" s="30"/>
      <c r="S475" s="30"/>
      <c r="T475" s="30"/>
      <c r="U475" s="30" t="n">
        <v>172.76</v>
      </c>
      <c r="V475" s="30" t="n">
        <v>232.59</v>
      </c>
      <c r="W475" s="30" t="n">
        <v>49.3</v>
      </c>
      <c r="X475" s="30" t="s">
        <v>1005</v>
      </c>
      <c r="Y475" s="30" t="n">
        <v>31.69</v>
      </c>
      <c r="Z475" s="30" t="s">
        <v>1005</v>
      </c>
      <c r="AA475" s="30" t="n">
        <v>39.7</v>
      </c>
      <c r="AB475" s="30" t="s">
        <v>1005</v>
      </c>
      <c r="AC475" s="30" t="n">
        <v>15.89</v>
      </c>
      <c r="AD475" s="30" t="s">
        <v>1005</v>
      </c>
      <c r="AE475" s="30" t="n">
        <v>8.4</v>
      </c>
      <c r="AF475" s="30" t="s">
        <v>1005</v>
      </c>
      <c r="AG475" s="30" t="n">
        <v>0</v>
      </c>
      <c r="AH475" s="30" t="s">
        <v>1005</v>
      </c>
      <c r="AI475" s="30" t="n">
        <v>0</v>
      </c>
      <c r="AJ475" s="30" t="s">
        <v>1005</v>
      </c>
      <c r="AK475" s="30" t="n">
        <v>0</v>
      </c>
      <c r="AL475" s="30" t="s">
        <v>1005</v>
      </c>
      <c r="AM475" s="30" t="n">
        <v>0</v>
      </c>
      <c r="AN475" s="30" t="s">
        <v>1005</v>
      </c>
      <c r="AO475" s="30" t="n">
        <v>20.58</v>
      </c>
      <c r="AP475" s="30" t="s">
        <v>1005</v>
      </c>
      <c r="AQ475" s="30" t="n">
        <v>18.93</v>
      </c>
      <c r="AR475" s="30" t="s">
        <v>1005</v>
      </c>
      <c r="AS475" s="30" t="n">
        <v>27.48</v>
      </c>
      <c r="AT475" s="30" t="s">
        <v>1005</v>
      </c>
      <c r="AU475" s="30" t="n">
        <v>211.97</v>
      </c>
      <c r="AV475" s="30" t="n">
        <v>0.0979</v>
      </c>
      <c r="AW475" s="30" t="s">
        <v>1018</v>
      </c>
      <c r="AX475" s="30" t="s">
        <v>1008</v>
      </c>
      <c r="AY475" s="30" t="n">
        <v>1</v>
      </c>
      <c r="AZ475" s="30"/>
    </row>
    <row collapsed="false" customFormat="true" customHeight="true" hidden="false" ht="33" outlineLevel="0" r="476" s="73">
      <c r="A476" s="30" t="n">
        <v>517</v>
      </c>
      <c r="B476" s="30" t="s">
        <v>715</v>
      </c>
      <c r="C476" s="30" t="s">
        <v>1009</v>
      </c>
      <c r="D476" s="30" t="s">
        <v>999</v>
      </c>
      <c r="E476" s="30" t="s">
        <v>1010</v>
      </c>
      <c r="F476" s="30" t="s">
        <v>1011</v>
      </c>
      <c r="G476" s="30" t="s">
        <v>1002</v>
      </c>
      <c r="H476" s="30" t="s">
        <v>1003</v>
      </c>
      <c r="I476" s="30" t="n">
        <v>1</v>
      </c>
      <c r="J476" s="30"/>
      <c r="K476" s="30" t="n">
        <v>57</v>
      </c>
      <c r="L476" s="30"/>
      <c r="M476" s="30" t="s">
        <v>1017</v>
      </c>
      <c r="N476" s="30" t="s">
        <v>54</v>
      </c>
      <c r="O476" s="30"/>
      <c r="P476" s="30"/>
      <c r="Q476" s="30"/>
      <c r="R476" s="30"/>
      <c r="S476" s="30"/>
      <c r="T476" s="30"/>
      <c r="U476" s="30" t="n">
        <v>171.12</v>
      </c>
      <c r="V476" s="30" t="n">
        <v>258.78</v>
      </c>
      <c r="W476" s="30" t="n">
        <v>53.25</v>
      </c>
      <c r="X476" s="30" t="s">
        <v>1005</v>
      </c>
      <c r="Y476" s="30" t="n">
        <v>35.7</v>
      </c>
      <c r="Z476" s="30" t="s">
        <v>1005</v>
      </c>
      <c r="AA476" s="30" t="n">
        <v>49.83</v>
      </c>
      <c r="AB476" s="30" t="s">
        <v>1005</v>
      </c>
      <c r="AC476" s="30" t="n">
        <v>15.15</v>
      </c>
      <c r="AD476" s="30" t="s">
        <v>1005</v>
      </c>
      <c r="AE476" s="30" t="n">
        <v>9.78</v>
      </c>
      <c r="AF476" s="30" t="s">
        <v>1005</v>
      </c>
      <c r="AG476" s="30" t="n">
        <v>0</v>
      </c>
      <c r="AH476" s="30" t="s">
        <v>1005</v>
      </c>
      <c r="AI476" s="30" t="n">
        <v>0</v>
      </c>
      <c r="AJ476" s="30" t="s">
        <v>1005</v>
      </c>
      <c r="AK476" s="30" t="n">
        <v>0</v>
      </c>
      <c r="AL476" s="30" t="s">
        <v>1005</v>
      </c>
      <c r="AM476" s="30" t="n">
        <v>0</v>
      </c>
      <c r="AN476" s="30" t="s">
        <v>1005</v>
      </c>
      <c r="AO476" s="30" t="n">
        <v>23.1</v>
      </c>
      <c r="AP476" s="30" t="s">
        <v>1005</v>
      </c>
      <c r="AQ476" s="30" t="n">
        <v>21.3</v>
      </c>
      <c r="AR476" s="30" t="s">
        <v>1005</v>
      </c>
      <c r="AS476" s="30" t="n">
        <v>30.98</v>
      </c>
      <c r="AT476" s="30" t="s">
        <v>1005</v>
      </c>
      <c r="AU476" s="30" t="n">
        <v>239.09</v>
      </c>
      <c r="AV476" s="30" t="n">
        <v>0.0976</v>
      </c>
      <c r="AW476" s="30" t="s">
        <v>1018</v>
      </c>
      <c r="AX476" s="30" t="s">
        <v>1008</v>
      </c>
      <c r="AY476" s="30" t="n">
        <v>1</v>
      </c>
      <c r="AZ476" s="30"/>
    </row>
    <row collapsed="false" customFormat="true" customHeight="true" hidden="false" ht="33" outlineLevel="0" r="477" s="73">
      <c r="A477" s="30" t="n">
        <v>520</v>
      </c>
      <c r="B477" s="30" t="s">
        <v>716</v>
      </c>
      <c r="C477" s="30" t="s">
        <v>1009</v>
      </c>
      <c r="D477" s="30" t="s">
        <v>999</v>
      </c>
      <c r="E477" s="30" t="s">
        <v>1010</v>
      </c>
      <c r="F477" s="30" t="s">
        <v>1011</v>
      </c>
      <c r="G477" s="30" t="s">
        <v>1002</v>
      </c>
      <c r="H477" s="30" t="s">
        <v>1003</v>
      </c>
      <c r="I477" s="30" t="n">
        <v>1</v>
      </c>
      <c r="J477" s="30"/>
      <c r="K477" s="30" t="n">
        <v>57</v>
      </c>
      <c r="L477" s="30"/>
      <c r="M477" s="30" t="s">
        <v>1017</v>
      </c>
      <c r="N477" s="30" t="s">
        <v>54</v>
      </c>
      <c r="O477" s="30"/>
      <c r="P477" s="30"/>
      <c r="Q477" s="30"/>
      <c r="R477" s="30"/>
      <c r="S477" s="30"/>
      <c r="T477" s="30"/>
      <c r="U477" s="30" t="n">
        <v>138.39</v>
      </c>
      <c r="V477" s="30" t="n">
        <v>192.45</v>
      </c>
      <c r="W477" s="30" t="n">
        <v>41.63</v>
      </c>
      <c r="X477" s="30" t="s">
        <v>1005</v>
      </c>
      <c r="Y477" s="30" t="n">
        <v>27.8</v>
      </c>
      <c r="Z477" s="30" t="s">
        <v>1005</v>
      </c>
      <c r="AA477" s="30" t="n">
        <v>29.14</v>
      </c>
      <c r="AB477" s="30" t="s">
        <v>1005</v>
      </c>
      <c r="AC477" s="30" t="n">
        <v>11.38</v>
      </c>
      <c r="AD477" s="30" t="s">
        <v>1005</v>
      </c>
      <c r="AE477" s="30" t="n">
        <v>6.88</v>
      </c>
      <c r="AF477" s="30" t="s">
        <v>1005</v>
      </c>
      <c r="AG477" s="30" t="n">
        <v>0</v>
      </c>
      <c r="AH477" s="30" t="s">
        <v>1005</v>
      </c>
      <c r="AI477" s="30" t="n">
        <v>0</v>
      </c>
      <c r="AJ477" s="30" t="s">
        <v>1005</v>
      </c>
      <c r="AK477" s="30" t="n">
        <v>0</v>
      </c>
      <c r="AL477" s="30" t="s">
        <v>1005</v>
      </c>
      <c r="AM477" s="30" t="n">
        <v>0</v>
      </c>
      <c r="AN477" s="30" t="s">
        <v>1005</v>
      </c>
      <c r="AO477" s="30" t="n">
        <v>15.03</v>
      </c>
      <c r="AP477" s="30" t="s">
        <v>1005</v>
      </c>
      <c r="AQ477" s="30" t="n">
        <v>15.48</v>
      </c>
      <c r="AR477" s="30" t="s">
        <v>1005</v>
      </c>
      <c r="AS477" s="30" t="n">
        <v>22.66</v>
      </c>
      <c r="AT477" s="30" t="s">
        <v>1005</v>
      </c>
      <c r="AU477" s="30" t="n">
        <v>170</v>
      </c>
      <c r="AV477" s="30" t="n">
        <v>0.084</v>
      </c>
      <c r="AW477" s="30" t="s">
        <v>1018</v>
      </c>
      <c r="AX477" s="30" t="s">
        <v>1008</v>
      </c>
      <c r="AY477" s="30" t="n">
        <v>1</v>
      </c>
      <c r="AZ477" s="30"/>
    </row>
    <row collapsed="false" customFormat="true" customHeight="true" hidden="false" ht="33" outlineLevel="0" r="478" s="73">
      <c r="A478" s="30" t="n">
        <v>521</v>
      </c>
      <c r="B478" s="30" t="s">
        <v>717</v>
      </c>
      <c r="C478" s="30" t="s">
        <v>1009</v>
      </c>
      <c r="D478" s="30" t="s">
        <v>999</v>
      </c>
      <c r="E478" s="30" t="s">
        <v>1010</v>
      </c>
      <c r="F478" s="30" t="s">
        <v>1011</v>
      </c>
      <c r="G478" s="30" t="s">
        <v>1002</v>
      </c>
      <c r="H478" s="30" t="s">
        <v>1003</v>
      </c>
      <c r="I478" s="30" t="n">
        <v>1</v>
      </c>
      <c r="J478" s="30"/>
      <c r="K478" s="30" t="n">
        <v>57</v>
      </c>
      <c r="L478" s="30"/>
      <c r="M478" s="30" t="s">
        <v>1017</v>
      </c>
      <c r="N478" s="30" t="s">
        <v>54</v>
      </c>
      <c r="O478" s="30"/>
      <c r="P478" s="30"/>
      <c r="Q478" s="30"/>
      <c r="R478" s="30"/>
      <c r="S478" s="30"/>
      <c r="T478" s="30"/>
      <c r="U478" s="30" t="n">
        <v>491.82</v>
      </c>
      <c r="V478" s="30" t="n">
        <v>678.02</v>
      </c>
      <c r="W478" s="30" t="n">
        <v>140.56</v>
      </c>
      <c r="X478" s="30" t="s">
        <v>1005</v>
      </c>
      <c r="Y478" s="30" t="n">
        <v>101.02</v>
      </c>
      <c r="Z478" s="30" t="s">
        <v>1005</v>
      </c>
      <c r="AA478" s="30" t="n">
        <v>118.67</v>
      </c>
      <c r="AB478" s="30" t="s">
        <v>1005</v>
      </c>
      <c r="AC478" s="30" t="n">
        <v>37.08</v>
      </c>
      <c r="AD478" s="30" t="s">
        <v>1005</v>
      </c>
      <c r="AE478" s="30" t="n">
        <v>23.15</v>
      </c>
      <c r="AF478" s="30" t="s">
        <v>1005</v>
      </c>
      <c r="AG478" s="30" t="n">
        <v>0</v>
      </c>
      <c r="AH478" s="30" t="s">
        <v>1005</v>
      </c>
      <c r="AI478" s="30" t="n">
        <v>0</v>
      </c>
      <c r="AJ478" s="30" t="s">
        <v>1005</v>
      </c>
      <c r="AK478" s="30" t="n">
        <v>0</v>
      </c>
      <c r="AL478" s="30" t="s">
        <v>1005</v>
      </c>
      <c r="AM478" s="30" t="n">
        <v>0</v>
      </c>
      <c r="AN478" s="30" t="s">
        <v>1005</v>
      </c>
      <c r="AO478" s="30" t="n">
        <v>51.91</v>
      </c>
      <c r="AP478" s="30" t="s">
        <v>1005</v>
      </c>
      <c r="AQ478" s="30" t="n">
        <v>50.21</v>
      </c>
      <c r="AR478" s="30" t="s">
        <v>1005</v>
      </c>
      <c r="AS478" s="30" t="n">
        <v>71.65</v>
      </c>
      <c r="AT478" s="30" t="s">
        <v>1005</v>
      </c>
      <c r="AU478" s="30" t="n">
        <v>594.25</v>
      </c>
      <c r="AV478" s="30" t="n">
        <v>0.307</v>
      </c>
      <c r="AW478" s="30" t="s">
        <v>1018</v>
      </c>
      <c r="AX478" s="30" t="s">
        <v>1008</v>
      </c>
      <c r="AY478" s="30" t="n">
        <v>1</v>
      </c>
      <c r="AZ478" s="30"/>
    </row>
    <row collapsed="false" customFormat="true" customHeight="true" hidden="false" ht="33" outlineLevel="0" r="479" s="73">
      <c r="A479" s="30" t="n">
        <v>522</v>
      </c>
      <c r="B479" s="30" t="s">
        <v>718</v>
      </c>
      <c r="C479" s="30" t="s">
        <v>1009</v>
      </c>
      <c r="D479" s="30" t="s">
        <v>999</v>
      </c>
      <c r="E479" s="30" t="s">
        <v>1010</v>
      </c>
      <c r="F479" s="30" t="s">
        <v>1011</v>
      </c>
      <c r="G479" s="30" t="s">
        <v>1002</v>
      </c>
      <c r="H479" s="30" t="s">
        <v>1003</v>
      </c>
      <c r="I479" s="30" t="n">
        <v>1</v>
      </c>
      <c r="J479" s="30"/>
      <c r="K479" s="30" t="n">
        <v>45</v>
      </c>
      <c r="L479" s="30"/>
      <c r="M479" s="30" t="s">
        <v>1017</v>
      </c>
      <c r="N479" s="30" t="s">
        <v>54</v>
      </c>
      <c r="O479" s="30"/>
      <c r="P479" s="30"/>
      <c r="Q479" s="30"/>
      <c r="R479" s="30"/>
      <c r="S479" s="30"/>
      <c r="T479" s="30"/>
      <c r="U479" s="30" t="n">
        <v>485.81</v>
      </c>
      <c r="V479" s="30" t="n">
        <v>687.35</v>
      </c>
      <c r="W479" s="30" t="n">
        <v>138.36</v>
      </c>
      <c r="X479" s="30" t="s">
        <v>1005</v>
      </c>
      <c r="Y479" s="30" t="n">
        <v>94.22</v>
      </c>
      <c r="Z479" s="30" t="s">
        <v>1005</v>
      </c>
      <c r="AA479" s="30" t="n">
        <v>116.93</v>
      </c>
      <c r="AB479" s="30" t="s">
        <v>1005</v>
      </c>
      <c r="AC479" s="30" t="n">
        <v>36.36</v>
      </c>
      <c r="AD479" s="30" t="s">
        <v>1005</v>
      </c>
      <c r="AE479" s="30" t="n">
        <v>23.28</v>
      </c>
      <c r="AF479" s="30" t="s">
        <v>1005</v>
      </c>
      <c r="AG479" s="30" t="n">
        <v>0</v>
      </c>
      <c r="AH479" s="30" t="s">
        <v>1005</v>
      </c>
      <c r="AI479" s="30" t="n">
        <v>0</v>
      </c>
      <c r="AJ479" s="30" t="s">
        <v>1005</v>
      </c>
      <c r="AK479" s="30" t="n">
        <v>0</v>
      </c>
      <c r="AL479" s="30" t="s">
        <v>1005</v>
      </c>
      <c r="AM479" s="30" t="n">
        <v>0</v>
      </c>
      <c r="AN479" s="30" t="s">
        <v>1005</v>
      </c>
      <c r="AO479" s="30" t="n">
        <v>48.78</v>
      </c>
      <c r="AP479" s="30" t="s">
        <v>1005</v>
      </c>
      <c r="AQ479" s="30" t="n">
        <v>49.85</v>
      </c>
      <c r="AR479" s="30" t="s">
        <v>1005</v>
      </c>
      <c r="AS479" s="30" t="n">
        <v>76.11</v>
      </c>
      <c r="AT479" s="30" t="s">
        <v>1005</v>
      </c>
      <c r="AU479" s="30" t="n">
        <v>583.89</v>
      </c>
      <c r="AV479" s="30" t="n">
        <v>0.313</v>
      </c>
      <c r="AW479" s="30" t="s">
        <v>1018</v>
      </c>
      <c r="AX479" s="30" t="s">
        <v>1008</v>
      </c>
      <c r="AY479" s="30" t="n">
        <v>1</v>
      </c>
      <c r="AZ479" s="30"/>
    </row>
    <row collapsed="false" customFormat="true" customHeight="true" hidden="false" ht="33" outlineLevel="0" r="480" s="73">
      <c r="A480" s="30" t="n">
        <v>523</v>
      </c>
      <c r="B480" s="30" t="s">
        <v>720</v>
      </c>
      <c r="C480" s="30" t="s">
        <v>1009</v>
      </c>
      <c r="D480" s="30" t="s">
        <v>999</v>
      </c>
      <c r="E480" s="30" t="s">
        <v>1010</v>
      </c>
      <c r="F480" s="30" t="s">
        <v>1011</v>
      </c>
      <c r="G480" s="30" t="s">
        <v>1002</v>
      </c>
      <c r="H480" s="30" t="s">
        <v>1003</v>
      </c>
      <c r="I480" s="30" t="n">
        <v>1</v>
      </c>
      <c r="J480" s="30"/>
      <c r="K480" s="30" t="n">
        <v>45</v>
      </c>
      <c r="L480" s="30"/>
      <c r="M480" s="30" t="s">
        <v>1017</v>
      </c>
      <c r="N480" s="30" t="s">
        <v>54</v>
      </c>
      <c r="O480" s="30"/>
      <c r="P480" s="30"/>
      <c r="Q480" s="30"/>
      <c r="R480" s="30"/>
      <c r="S480" s="30"/>
      <c r="T480" s="30"/>
      <c r="U480" s="30" t="n">
        <v>172.96</v>
      </c>
      <c r="V480" s="30" t="n">
        <v>241.74</v>
      </c>
      <c r="W480" s="30" t="n">
        <v>42.86</v>
      </c>
      <c r="X480" s="30" t="s">
        <v>1005</v>
      </c>
      <c r="Y480" s="30" t="n">
        <v>32.57</v>
      </c>
      <c r="Z480" s="30" t="s">
        <v>1005</v>
      </c>
      <c r="AA480" s="30" t="n">
        <v>42.36</v>
      </c>
      <c r="AB480" s="30" t="s">
        <v>1005</v>
      </c>
      <c r="AC480" s="30" t="n">
        <v>16.27</v>
      </c>
      <c r="AD480" s="30" t="s">
        <v>1005</v>
      </c>
      <c r="AE480" s="30" t="n">
        <v>9.14</v>
      </c>
      <c r="AF480" s="30" t="s">
        <v>1005</v>
      </c>
      <c r="AG480" s="30" t="n">
        <v>0</v>
      </c>
      <c r="AH480" s="30" t="s">
        <v>1005</v>
      </c>
      <c r="AI480" s="30" t="n">
        <v>0</v>
      </c>
      <c r="AJ480" s="30" t="s">
        <v>1005</v>
      </c>
      <c r="AK480" s="30" t="n">
        <v>0</v>
      </c>
      <c r="AL480" s="30" t="s">
        <v>1005</v>
      </c>
      <c r="AM480" s="30" t="n">
        <v>0</v>
      </c>
      <c r="AN480" s="30" t="s">
        <v>1005</v>
      </c>
      <c r="AO480" s="30" t="n">
        <v>17.34</v>
      </c>
      <c r="AP480" s="30" t="s">
        <v>1005</v>
      </c>
      <c r="AQ480" s="30" t="n">
        <v>20.99</v>
      </c>
      <c r="AR480" s="30" t="s">
        <v>1005</v>
      </c>
      <c r="AS480" s="30" t="n">
        <v>34.91</v>
      </c>
      <c r="AT480" s="30" t="s">
        <v>1005</v>
      </c>
      <c r="AU480" s="30" t="n">
        <v>216.44</v>
      </c>
      <c r="AV480" s="30" t="n">
        <v>0.086</v>
      </c>
      <c r="AW480" s="30" t="s">
        <v>1018</v>
      </c>
      <c r="AX480" s="30" t="s">
        <v>1008</v>
      </c>
      <c r="AY480" s="30" t="n">
        <v>1</v>
      </c>
      <c r="AZ480" s="30"/>
    </row>
    <row collapsed="false" customFormat="true" customHeight="true" hidden="false" ht="33" outlineLevel="0" r="481" s="73">
      <c r="A481" s="30" t="n">
        <v>526</v>
      </c>
      <c r="B481" s="30" t="s">
        <v>723</v>
      </c>
      <c r="C481" s="30" t="s">
        <v>1009</v>
      </c>
      <c r="D481" s="30" t="s">
        <v>999</v>
      </c>
      <c r="E481" s="30" t="s">
        <v>1010</v>
      </c>
      <c r="F481" s="30" t="s">
        <v>1011</v>
      </c>
      <c r="G481" s="30" t="s">
        <v>1002</v>
      </c>
      <c r="H481" s="30" t="s">
        <v>1003</v>
      </c>
      <c r="I481" s="30" t="n">
        <v>1</v>
      </c>
      <c r="J481" s="30"/>
      <c r="K481" s="30" t="n">
        <v>57</v>
      </c>
      <c r="L481" s="30"/>
      <c r="M481" s="30" t="s">
        <v>1004</v>
      </c>
      <c r="N481" s="30" t="s">
        <v>54</v>
      </c>
      <c r="O481" s="30"/>
      <c r="P481" s="30"/>
      <c r="Q481" s="30"/>
      <c r="R481" s="30"/>
      <c r="S481" s="30"/>
      <c r="T481" s="30"/>
      <c r="U481" s="30" t="n">
        <v>126.21</v>
      </c>
      <c r="V481" s="30" t="n">
        <v>181.04</v>
      </c>
      <c r="W481" s="30" t="n">
        <v>37.5</v>
      </c>
      <c r="X481" s="30" t="s">
        <v>1005</v>
      </c>
      <c r="Y481" s="30" t="n">
        <v>14.91</v>
      </c>
      <c r="Z481" s="30" t="s">
        <v>1006</v>
      </c>
      <c r="AA481" s="30" t="n">
        <v>14.91</v>
      </c>
      <c r="AB481" s="30" t="s">
        <v>1006</v>
      </c>
      <c r="AC481" s="30" t="n">
        <v>11.43</v>
      </c>
      <c r="AD481" s="30" t="s">
        <v>1005</v>
      </c>
      <c r="AE481" s="30" t="n">
        <v>6.5</v>
      </c>
      <c r="AF481" s="30" t="s">
        <v>1005</v>
      </c>
      <c r="AG481" s="30" t="n">
        <v>0</v>
      </c>
      <c r="AH481" s="30" t="s">
        <v>1005</v>
      </c>
      <c r="AI481" s="30" t="n">
        <v>0</v>
      </c>
      <c r="AJ481" s="30" t="s">
        <v>1005</v>
      </c>
      <c r="AK481" s="30" t="n">
        <v>0</v>
      </c>
      <c r="AL481" s="30" t="s">
        <v>1005</v>
      </c>
      <c r="AM481" s="30" t="n">
        <v>0</v>
      </c>
      <c r="AN481" s="30" t="s">
        <v>1005</v>
      </c>
      <c r="AO481" s="30" t="n">
        <v>13.02</v>
      </c>
      <c r="AP481" s="30" t="s">
        <v>1005</v>
      </c>
      <c r="AQ481" s="30" t="n">
        <v>11.72</v>
      </c>
      <c r="AR481" s="30" t="s">
        <v>1005</v>
      </c>
      <c r="AS481" s="30" t="n">
        <v>17.16</v>
      </c>
      <c r="AT481" s="30" t="s">
        <v>1005</v>
      </c>
      <c r="AU481" s="30" t="n">
        <v>127.15</v>
      </c>
      <c r="AV481" s="30" t="n">
        <v>0.065</v>
      </c>
      <c r="AW481" s="30" t="s">
        <v>1007</v>
      </c>
      <c r="AX481" s="30" t="s">
        <v>1008</v>
      </c>
      <c r="AY481" s="30" t="n">
        <v>1</v>
      </c>
      <c r="AZ481" s="30"/>
    </row>
    <row collapsed="false" customFormat="true" customHeight="true" hidden="false" ht="33" outlineLevel="0" r="482" s="73">
      <c r="A482" s="30" t="n">
        <v>528</v>
      </c>
      <c r="B482" s="30" t="s">
        <v>725</v>
      </c>
      <c r="C482" s="30" t="s">
        <v>1009</v>
      </c>
      <c r="D482" s="30" t="s">
        <v>999</v>
      </c>
      <c r="E482" s="30" t="s">
        <v>1010</v>
      </c>
      <c r="F482" s="30" t="s">
        <v>1011</v>
      </c>
      <c r="G482" s="30" t="s">
        <v>1002</v>
      </c>
      <c r="H482" s="30" t="s">
        <v>1003</v>
      </c>
      <c r="I482" s="30" t="n">
        <v>1</v>
      </c>
      <c r="J482" s="30"/>
      <c r="K482" s="30" t="n">
        <v>57</v>
      </c>
      <c r="L482" s="30"/>
      <c r="M482" s="30" t="s">
        <v>1004</v>
      </c>
      <c r="N482" s="30" t="s">
        <v>54</v>
      </c>
      <c r="O482" s="30"/>
      <c r="P482" s="30"/>
      <c r="Q482" s="30"/>
      <c r="R482" s="30"/>
      <c r="S482" s="30"/>
      <c r="T482" s="30"/>
      <c r="U482" s="30" t="n">
        <v>130.94</v>
      </c>
      <c r="V482" s="30" t="n">
        <v>189.28</v>
      </c>
      <c r="W482" s="30" t="n">
        <v>36.42</v>
      </c>
      <c r="X482" s="30" t="s">
        <v>1005</v>
      </c>
      <c r="Y482" s="30" t="n">
        <v>25.95</v>
      </c>
      <c r="Z482" s="30" t="s">
        <v>1005</v>
      </c>
      <c r="AA482" s="30" t="n">
        <v>37.88</v>
      </c>
      <c r="AB482" s="30" t="s">
        <v>1005</v>
      </c>
      <c r="AC482" s="30" t="n">
        <v>13.43</v>
      </c>
      <c r="AD482" s="30" t="s">
        <v>1005</v>
      </c>
      <c r="AE482" s="30" t="n">
        <v>7.8</v>
      </c>
      <c r="AF482" s="30" t="s">
        <v>1005</v>
      </c>
      <c r="AG482" s="30" t="n">
        <v>0</v>
      </c>
      <c r="AH482" s="30" t="s">
        <v>1005</v>
      </c>
      <c r="AI482" s="30" t="n">
        <v>0</v>
      </c>
      <c r="AJ482" s="30" t="s">
        <v>1005</v>
      </c>
      <c r="AK482" s="30" t="n">
        <v>0</v>
      </c>
      <c r="AL482" s="30" t="s">
        <v>1005</v>
      </c>
      <c r="AM482" s="30" t="n">
        <v>0</v>
      </c>
      <c r="AN482" s="30" t="s">
        <v>1005</v>
      </c>
      <c r="AO482" s="30" t="n">
        <v>15.34</v>
      </c>
      <c r="AP482" s="30" t="s">
        <v>1005</v>
      </c>
      <c r="AQ482" s="30" t="n">
        <v>15.09</v>
      </c>
      <c r="AR482" s="30" t="s">
        <v>1005</v>
      </c>
      <c r="AS482" s="30" t="n">
        <v>21.73</v>
      </c>
      <c r="AT482" s="30" t="s">
        <v>1005</v>
      </c>
      <c r="AU482" s="30" t="n">
        <v>173.64</v>
      </c>
      <c r="AV482" s="30" t="n">
        <v>0.067</v>
      </c>
      <c r="AW482" s="30" t="s">
        <v>1007</v>
      </c>
      <c r="AX482" s="30" t="s">
        <v>1008</v>
      </c>
      <c r="AY482" s="30" t="n">
        <v>1</v>
      </c>
      <c r="AZ482" s="30"/>
    </row>
    <row collapsed="false" customFormat="true" customHeight="true" hidden="false" ht="33" outlineLevel="0" r="483" s="73">
      <c r="A483" s="30" t="n">
        <v>529</v>
      </c>
      <c r="B483" s="30" t="s">
        <v>727</v>
      </c>
      <c r="C483" s="30" t="s">
        <v>1009</v>
      </c>
      <c r="D483" s="30" t="s">
        <v>999</v>
      </c>
      <c r="E483" s="30" t="s">
        <v>1000</v>
      </c>
      <c r="F483" s="30" t="s">
        <v>1001</v>
      </c>
      <c r="G483" s="30" t="s">
        <v>1002</v>
      </c>
      <c r="H483" s="30" t="s">
        <v>1003</v>
      </c>
      <c r="I483" s="30" t="n">
        <v>1</v>
      </c>
      <c r="J483" s="30"/>
      <c r="K483" s="30" t="n">
        <v>50</v>
      </c>
      <c r="L483" s="30" t="n">
        <v>5.5</v>
      </c>
      <c r="M483" s="30" t="s">
        <v>1004</v>
      </c>
      <c r="N483" s="30" t="s">
        <v>54</v>
      </c>
      <c r="O483" s="30"/>
      <c r="P483" s="30"/>
      <c r="Q483" s="30"/>
      <c r="R483" s="30"/>
      <c r="S483" s="30"/>
      <c r="T483" s="30"/>
      <c r="U483" s="30" t="n">
        <v>177.42</v>
      </c>
      <c r="V483" s="30" t="n">
        <v>174.15</v>
      </c>
      <c r="W483" s="30" t="n">
        <v>31.81</v>
      </c>
      <c r="X483" s="30" t="s">
        <v>1005</v>
      </c>
      <c r="Y483" s="30" t="n">
        <v>14.03</v>
      </c>
      <c r="Z483" s="30" t="s">
        <v>1005</v>
      </c>
      <c r="AA483" s="30" t="n">
        <v>33.88</v>
      </c>
      <c r="AB483" s="30" t="s">
        <v>1005</v>
      </c>
      <c r="AC483" s="30" t="n">
        <v>10.51</v>
      </c>
      <c r="AD483" s="30" t="s">
        <v>1005</v>
      </c>
      <c r="AE483" s="30" t="n">
        <v>4.07</v>
      </c>
      <c r="AF483" s="30" t="s">
        <v>1005</v>
      </c>
      <c r="AG483" s="30" t="n">
        <v>0</v>
      </c>
      <c r="AH483" s="30" t="s">
        <v>1006</v>
      </c>
      <c r="AI483" s="30" t="n">
        <v>0</v>
      </c>
      <c r="AJ483" s="30" t="s">
        <v>1006</v>
      </c>
      <c r="AK483" s="30" t="n">
        <v>0</v>
      </c>
      <c r="AL483" s="30" t="s">
        <v>1006</v>
      </c>
      <c r="AM483" s="30" t="n">
        <v>0</v>
      </c>
      <c r="AN483" s="30"/>
      <c r="AO483" s="30" t="n">
        <v>12.05</v>
      </c>
      <c r="AP483" s="30" t="s">
        <v>1005</v>
      </c>
      <c r="AQ483" s="30" t="n">
        <v>16.52</v>
      </c>
      <c r="AR483" s="30" t="s">
        <v>1005</v>
      </c>
      <c r="AS483" s="30" t="n">
        <v>22.76</v>
      </c>
      <c r="AT483" s="30" t="s">
        <v>1005</v>
      </c>
      <c r="AU483" s="30" t="n">
        <v>145.63</v>
      </c>
      <c r="AV483" s="30" t="n">
        <v>0.10037</v>
      </c>
      <c r="AW483" s="30" t="s">
        <v>1007</v>
      </c>
      <c r="AX483" s="30" t="s">
        <v>1008</v>
      </c>
      <c r="AY483" s="30" t="n">
        <v>0</v>
      </c>
      <c r="AZ483" s="30"/>
    </row>
    <row collapsed="false" customFormat="true" customHeight="true" hidden="false" ht="33" outlineLevel="0" r="484" s="73">
      <c r="A484" s="30" t="n">
        <v>530</v>
      </c>
      <c r="B484" s="30" t="s">
        <v>728</v>
      </c>
      <c r="C484" s="30" t="s">
        <v>1009</v>
      </c>
      <c r="D484" s="30" t="s">
        <v>999</v>
      </c>
      <c r="E484" s="30" t="s">
        <v>1000</v>
      </c>
      <c r="F484" s="30" t="s">
        <v>1001</v>
      </c>
      <c r="G484" s="30" t="s">
        <v>1002</v>
      </c>
      <c r="H484" s="30" t="s">
        <v>1003</v>
      </c>
      <c r="I484" s="30" t="n">
        <v>1</v>
      </c>
      <c r="J484" s="30"/>
      <c r="K484" s="30" t="n">
        <v>65</v>
      </c>
      <c r="L484" s="30" t="n">
        <v>5.5</v>
      </c>
      <c r="M484" s="30" t="s">
        <v>1004</v>
      </c>
      <c r="N484" s="30" t="s">
        <v>53</v>
      </c>
      <c r="O484" s="30"/>
      <c r="P484" s="30"/>
      <c r="Q484" s="30"/>
      <c r="R484" s="30"/>
      <c r="S484" s="30"/>
      <c r="T484" s="30"/>
      <c r="U484" s="30" t="n">
        <v>501.1</v>
      </c>
      <c r="V484" s="30" t="n">
        <v>545.6</v>
      </c>
      <c r="W484" s="30" t="n">
        <v>94.37</v>
      </c>
      <c r="X484" s="30" t="s">
        <v>1005</v>
      </c>
      <c r="Y484" s="30" t="n">
        <v>64.61</v>
      </c>
      <c r="Z484" s="30" t="s">
        <v>1005</v>
      </c>
      <c r="AA484" s="30" t="n">
        <v>97.89</v>
      </c>
      <c r="AB484" s="30" t="s">
        <v>1005</v>
      </c>
      <c r="AC484" s="30" t="n">
        <v>29.82</v>
      </c>
      <c r="AD484" s="30" t="s">
        <v>1005</v>
      </c>
      <c r="AE484" s="30" t="n">
        <v>19.27</v>
      </c>
      <c r="AF484" s="30" t="s">
        <v>1005</v>
      </c>
      <c r="AG484" s="30" t="n">
        <v>0</v>
      </c>
      <c r="AH484" s="30" t="s">
        <v>1006</v>
      </c>
      <c r="AI484" s="30" t="n">
        <v>0</v>
      </c>
      <c r="AJ484" s="30" t="s">
        <v>1006</v>
      </c>
      <c r="AK484" s="30" t="n">
        <v>0</v>
      </c>
      <c r="AL484" s="30" t="s">
        <v>1006</v>
      </c>
      <c r="AM484" s="30" t="n">
        <v>0</v>
      </c>
      <c r="AN484" s="30"/>
      <c r="AO484" s="30" t="n">
        <v>44.19</v>
      </c>
      <c r="AP484" s="30" t="s">
        <v>1005</v>
      </c>
      <c r="AQ484" s="30" t="n">
        <v>42.93</v>
      </c>
      <c r="AR484" s="30" t="s">
        <v>1005</v>
      </c>
      <c r="AS484" s="30" t="n">
        <v>63.87</v>
      </c>
      <c r="AT484" s="30" t="s">
        <v>1005</v>
      </c>
      <c r="AU484" s="30" t="n">
        <v>456.95</v>
      </c>
      <c r="AV484" s="30" t="n">
        <v>0.31179</v>
      </c>
      <c r="AW484" s="30" t="s">
        <v>1016</v>
      </c>
      <c r="AX484" s="30" t="s">
        <v>1008</v>
      </c>
      <c r="AY484" s="30" t="n">
        <v>1</v>
      </c>
      <c r="AZ484" s="30"/>
    </row>
    <row collapsed="false" customFormat="true" customHeight="true" hidden="false" ht="33" outlineLevel="0" r="485" s="73">
      <c r="A485" s="30" t="n">
        <v>531</v>
      </c>
      <c r="B485" s="30" t="s">
        <v>730</v>
      </c>
      <c r="C485" s="30" t="s">
        <v>1009</v>
      </c>
      <c r="D485" s="30" t="s">
        <v>999</v>
      </c>
      <c r="E485" s="30" t="s">
        <v>1010</v>
      </c>
      <c r="F485" s="30" t="s">
        <v>1011</v>
      </c>
      <c r="G485" s="30" t="s">
        <v>1002</v>
      </c>
      <c r="H485" s="30" t="s">
        <v>1003</v>
      </c>
      <c r="I485" s="30" t="n">
        <v>0</v>
      </c>
      <c r="J485" s="30"/>
      <c r="K485" s="30" t="n">
        <v>57</v>
      </c>
      <c r="L485" s="30"/>
      <c r="M485" s="30" t="s">
        <v>1004</v>
      </c>
      <c r="N485" s="30" t="s">
        <v>54</v>
      </c>
      <c r="O485" s="30"/>
      <c r="P485" s="30"/>
      <c r="Q485" s="30"/>
      <c r="R485" s="30"/>
      <c r="S485" s="30"/>
      <c r="T485" s="30"/>
      <c r="U485" s="30" t="n">
        <v>217.32</v>
      </c>
      <c r="V485" s="30" t="n">
        <v>218.05</v>
      </c>
      <c r="W485" s="30" t="n">
        <v>36.27</v>
      </c>
      <c r="X485" s="30" t="s">
        <v>1006</v>
      </c>
      <c r="Y485" s="30" t="n">
        <v>35.69</v>
      </c>
      <c r="Z485" s="30" t="s">
        <v>1006</v>
      </c>
      <c r="AA485" s="30" t="n">
        <v>35.69</v>
      </c>
      <c r="AB485" s="30" t="s">
        <v>1006</v>
      </c>
      <c r="AC485" s="30" t="n">
        <v>35.69</v>
      </c>
      <c r="AD485" s="30" t="s">
        <v>1006</v>
      </c>
      <c r="AE485" s="30" t="n">
        <v>10.36</v>
      </c>
      <c r="AF485" s="30" t="s">
        <v>1006</v>
      </c>
      <c r="AG485" s="30" t="n">
        <v>0</v>
      </c>
      <c r="AH485" s="30" t="s">
        <v>1006</v>
      </c>
      <c r="AI485" s="30" t="n">
        <v>0</v>
      </c>
      <c r="AJ485" s="30" t="s">
        <v>1006</v>
      </c>
      <c r="AK485" s="30" t="n">
        <v>0</v>
      </c>
      <c r="AL485" s="30" t="s">
        <v>1006</v>
      </c>
      <c r="AM485" s="30" t="n">
        <v>0</v>
      </c>
      <c r="AN485" s="30" t="s">
        <v>1006</v>
      </c>
      <c r="AO485" s="30" t="n">
        <v>33.19</v>
      </c>
      <c r="AP485" s="30" t="s">
        <v>1006</v>
      </c>
      <c r="AQ485" s="30" t="n">
        <v>33.19</v>
      </c>
      <c r="AR485" s="30" t="s">
        <v>1006</v>
      </c>
      <c r="AS485" s="30" t="n">
        <v>33.19</v>
      </c>
      <c r="AT485" s="30" t="s">
        <v>1006</v>
      </c>
      <c r="AU485" s="30" t="n">
        <v>253.27</v>
      </c>
      <c r="AV485" s="30" t="n">
        <v>0.125</v>
      </c>
      <c r="AW485" s="30" t="s">
        <v>1007</v>
      </c>
      <c r="AX485" s="30" t="s">
        <v>1008</v>
      </c>
      <c r="AY485" s="30" t="n">
        <v>1</v>
      </c>
      <c r="AZ485" s="30"/>
    </row>
    <row collapsed="false" customFormat="true" customHeight="true" hidden="false" ht="33" outlineLevel="0" r="486" s="73">
      <c r="A486" s="30" t="n">
        <v>532</v>
      </c>
      <c r="B486" s="30" t="s">
        <v>731</v>
      </c>
      <c r="C486" s="30" t="s">
        <v>1009</v>
      </c>
      <c r="D486" s="30" t="s">
        <v>999</v>
      </c>
      <c r="E486" s="30" t="s">
        <v>1010</v>
      </c>
      <c r="F486" s="30" t="s">
        <v>1011</v>
      </c>
      <c r="G486" s="30" t="s">
        <v>1002</v>
      </c>
      <c r="H486" s="30" t="s">
        <v>1003</v>
      </c>
      <c r="I486" s="30" t="n">
        <v>0</v>
      </c>
      <c r="J486" s="30"/>
      <c r="K486" s="30"/>
      <c r="L486" s="30"/>
      <c r="M486" s="30" t="s">
        <v>1004</v>
      </c>
      <c r="N486" s="30" t="s">
        <v>54</v>
      </c>
      <c r="O486" s="30"/>
      <c r="P486" s="30"/>
      <c r="Q486" s="30"/>
      <c r="R486" s="30"/>
      <c r="S486" s="30"/>
      <c r="T486" s="30"/>
      <c r="U486" s="30" t="n">
        <v>255.57</v>
      </c>
      <c r="V486" s="30" t="n">
        <v>262.31</v>
      </c>
      <c r="W486" s="30" t="n">
        <v>39.33</v>
      </c>
      <c r="X486" s="30" t="s">
        <v>1006</v>
      </c>
      <c r="Y486" s="30" t="n">
        <v>39.33</v>
      </c>
      <c r="Z486" s="30" t="s">
        <v>1006</v>
      </c>
      <c r="AA486" s="30" t="n">
        <v>39.33</v>
      </c>
      <c r="AB486" s="30" t="s">
        <v>1006</v>
      </c>
      <c r="AC486" s="30" t="n">
        <v>39.33</v>
      </c>
      <c r="AD486" s="30" t="s">
        <v>1006</v>
      </c>
      <c r="AE486" s="30" t="n">
        <v>11.42</v>
      </c>
      <c r="AF486" s="30" t="s">
        <v>1006</v>
      </c>
      <c r="AG486" s="30" t="n">
        <v>0</v>
      </c>
      <c r="AH486" s="30" t="s">
        <v>1006</v>
      </c>
      <c r="AI486" s="30" t="n">
        <v>0</v>
      </c>
      <c r="AJ486" s="30" t="s">
        <v>1006</v>
      </c>
      <c r="AK486" s="30" t="n">
        <v>0</v>
      </c>
      <c r="AL486" s="30" t="s">
        <v>1006</v>
      </c>
      <c r="AM486" s="30" t="n">
        <v>0</v>
      </c>
      <c r="AN486" s="30" t="s">
        <v>1006</v>
      </c>
      <c r="AO486" s="30" t="n">
        <v>36.4</v>
      </c>
      <c r="AP486" s="30" t="s">
        <v>1006</v>
      </c>
      <c r="AQ486" s="30" t="n">
        <v>36.4</v>
      </c>
      <c r="AR486" s="30" t="s">
        <v>1006</v>
      </c>
      <c r="AS486" s="30" t="n">
        <v>36.4</v>
      </c>
      <c r="AT486" s="30" t="s">
        <v>1006</v>
      </c>
      <c r="AU486" s="30" t="n">
        <v>277.94</v>
      </c>
      <c r="AV486" s="30" t="n">
        <v>0.147</v>
      </c>
      <c r="AW486" s="30" t="s">
        <v>1007</v>
      </c>
      <c r="AX486" s="30" t="s">
        <v>1008</v>
      </c>
      <c r="AY486" s="30" t="n">
        <v>1</v>
      </c>
      <c r="AZ486" s="30"/>
    </row>
    <row collapsed="false" customFormat="true" customHeight="true" hidden="false" ht="33" outlineLevel="0" r="487" s="73">
      <c r="A487" s="30" t="n">
        <v>533</v>
      </c>
      <c r="B487" s="30" t="s">
        <v>733</v>
      </c>
      <c r="C487" s="30" t="s">
        <v>1009</v>
      </c>
      <c r="D487" s="30" t="s">
        <v>999</v>
      </c>
      <c r="E487" s="30" t="s">
        <v>1010</v>
      </c>
      <c r="F487" s="30" t="s">
        <v>1020</v>
      </c>
      <c r="G487" s="30" t="s">
        <v>1002</v>
      </c>
      <c r="H487" s="30" t="s">
        <v>1003</v>
      </c>
      <c r="I487" s="30" t="n">
        <v>1</v>
      </c>
      <c r="J487" s="30"/>
      <c r="K487" s="30" t="n">
        <v>70</v>
      </c>
      <c r="L487" s="30"/>
      <c r="M487" s="30" t="s">
        <v>1017</v>
      </c>
      <c r="N487" s="30" t="s">
        <v>53</v>
      </c>
      <c r="O487" s="30"/>
      <c r="P487" s="30"/>
      <c r="Q487" s="30"/>
      <c r="R487" s="30"/>
      <c r="S487" s="30"/>
      <c r="T487" s="30"/>
      <c r="U487" s="30" t="n">
        <v>506.722</v>
      </c>
      <c r="V487" s="30" t="n">
        <v>668.731</v>
      </c>
      <c r="W487" s="30" t="n">
        <v>122.96</v>
      </c>
      <c r="X487" s="30"/>
      <c r="Y487" s="30" t="n">
        <v>71.887</v>
      </c>
      <c r="Z487" s="30"/>
      <c r="AA487" s="30" t="n">
        <v>99.567</v>
      </c>
      <c r="AB487" s="30"/>
      <c r="AC487" s="30" t="n">
        <v>55.978</v>
      </c>
      <c r="AD487" s="30"/>
      <c r="AE487" s="30" t="n">
        <v>0</v>
      </c>
      <c r="AF487" s="30"/>
      <c r="AG487" s="30" t="n">
        <v>0</v>
      </c>
      <c r="AH487" s="30" t="s">
        <v>1006</v>
      </c>
      <c r="AI487" s="30" t="n">
        <v>0</v>
      </c>
      <c r="AJ487" s="30" t="s">
        <v>1006</v>
      </c>
      <c r="AK487" s="30" t="n">
        <v>0</v>
      </c>
      <c r="AL487" s="30" t="s">
        <v>1006</v>
      </c>
      <c r="AM487" s="30" t="n">
        <v>0</v>
      </c>
      <c r="AN487" s="30"/>
      <c r="AO487" s="30" t="n">
        <v>44.36</v>
      </c>
      <c r="AP487" s="30"/>
      <c r="AQ487" s="30" t="n">
        <v>64.473</v>
      </c>
      <c r="AR487" s="30"/>
      <c r="AS487" s="30" t="n">
        <v>43.597</v>
      </c>
      <c r="AT487" s="30"/>
      <c r="AU487" s="30" t="n">
        <v>502.822</v>
      </c>
      <c r="AV487" s="30" t="n">
        <v>0.2467</v>
      </c>
      <c r="AW487" s="30" t="s">
        <v>1007</v>
      </c>
      <c r="AX487" s="30" t="s">
        <v>1008</v>
      </c>
      <c r="AY487" s="30" t="n">
        <v>1</v>
      </c>
      <c r="AZ487" s="30"/>
    </row>
    <row collapsed="false" customFormat="true" customHeight="true" hidden="false" ht="33" outlineLevel="0" r="488" s="73">
      <c r="A488" s="30" t="n">
        <v>534</v>
      </c>
      <c r="B488" s="30" t="s">
        <v>734</v>
      </c>
      <c r="C488" s="30" t="s">
        <v>1009</v>
      </c>
      <c r="D488" s="30" t="s">
        <v>999</v>
      </c>
      <c r="E488" s="30" t="s">
        <v>1010</v>
      </c>
      <c r="F488" s="30" t="s">
        <v>1020</v>
      </c>
      <c r="G488" s="30" t="s">
        <v>1002</v>
      </c>
      <c r="H488" s="30" t="s">
        <v>1003</v>
      </c>
      <c r="I488" s="30" t="n">
        <v>1</v>
      </c>
      <c r="J488" s="30"/>
      <c r="K488" s="30" t="n">
        <v>80</v>
      </c>
      <c r="L488" s="30"/>
      <c r="M488" s="30" t="s">
        <v>1017</v>
      </c>
      <c r="N488" s="30" t="s">
        <v>53</v>
      </c>
      <c r="O488" s="30"/>
      <c r="P488" s="30"/>
      <c r="Q488" s="30"/>
      <c r="R488" s="30"/>
      <c r="S488" s="30"/>
      <c r="T488" s="30"/>
      <c r="U488" s="30" t="n">
        <v>705.215</v>
      </c>
      <c r="V488" s="30" t="n">
        <v>869.13</v>
      </c>
      <c r="W488" s="30" t="n">
        <v>167.985</v>
      </c>
      <c r="X488" s="30"/>
      <c r="Y488" s="30" t="n">
        <v>88.734</v>
      </c>
      <c r="Z488" s="30"/>
      <c r="AA488" s="30" t="n">
        <v>128.902</v>
      </c>
      <c r="AB488" s="30"/>
      <c r="AC488" s="30" t="n">
        <v>80.266</v>
      </c>
      <c r="AD488" s="30"/>
      <c r="AE488" s="30" t="n">
        <v>0</v>
      </c>
      <c r="AF488" s="30"/>
      <c r="AG488" s="30" t="n">
        <v>0</v>
      </c>
      <c r="AH488" s="30" t="s">
        <v>1006</v>
      </c>
      <c r="AI488" s="30" t="n">
        <v>0</v>
      </c>
      <c r="AJ488" s="30" t="s">
        <v>1006</v>
      </c>
      <c r="AK488" s="30" t="n">
        <v>0</v>
      </c>
      <c r="AL488" s="30" t="s">
        <v>1006</v>
      </c>
      <c r="AM488" s="30" t="n">
        <v>0</v>
      </c>
      <c r="AN488" s="30"/>
      <c r="AO488" s="30" t="n">
        <v>52.626</v>
      </c>
      <c r="AP488" s="30"/>
      <c r="AQ488" s="30" t="n">
        <v>53.428</v>
      </c>
      <c r="AR488" s="30"/>
      <c r="AS488" s="30" t="n">
        <v>85.21</v>
      </c>
      <c r="AT488" s="30"/>
      <c r="AU488" s="30" t="n">
        <v>657.151</v>
      </c>
      <c r="AV488" s="30" t="n">
        <v>0.3368</v>
      </c>
      <c r="AW488" s="30" t="s">
        <v>1007</v>
      </c>
      <c r="AX488" s="30" t="s">
        <v>1008</v>
      </c>
      <c r="AY488" s="30" t="n">
        <v>1</v>
      </c>
      <c r="AZ488" s="30"/>
    </row>
    <row collapsed="false" customFormat="true" customHeight="true" hidden="false" ht="33" outlineLevel="0" r="489" s="73">
      <c r="A489" s="30" t="n">
        <v>535</v>
      </c>
      <c r="B489" s="30" t="s">
        <v>736</v>
      </c>
      <c r="C489" s="30" t="s">
        <v>1009</v>
      </c>
      <c r="D489" s="30" t="s">
        <v>999</v>
      </c>
      <c r="E489" s="30" t="s">
        <v>1010</v>
      </c>
      <c r="F489" s="30" t="s">
        <v>1001</v>
      </c>
      <c r="G489" s="30" t="s">
        <v>1002</v>
      </c>
      <c r="H489" s="30" t="s">
        <v>1003</v>
      </c>
      <c r="I489" s="30" t="n">
        <v>1</v>
      </c>
      <c r="J489" s="30"/>
      <c r="K489" s="30" t="n">
        <v>80</v>
      </c>
      <c r="L489" s="30" t="n">
        <v>5.5</v>
      </c>
      <c r="M489" s="30" t="s">
        <v>1015</v>
      </c>
      <c r="N489" s="30" t="s">
        <v>54</v>
      </c>
      <c r="O489" s="30"/>
      <c r="P489" s="30"/>
      <c r="Q489" s="30"/>
      <c r="R489" s="30"/>
      <c r="S489" s="30"/>
      <c r="T489" s="30"/>
      <c r="U489" s="30" t="n">
        <v>587.36</v>
      </c>
      <c r="V489" s="30" t="n">
        <v>686.97</v>
      </c>
      <c r="W489" s="30" t="n">
        <v>60.76</v>
      </c>
      <c r="X489" s="30" t="s">
        <v>1006</v>
      </c>
      <c r="Y489" s="30" t="n">
        <v>60.76</v>
      </c>
      <c r="Z489" s="30" t="s">
        <v>1006</v>
      </c>
      <c r="AA489" s="30" t="n">
        <v>60.76</v>
      </c>
      <c r="AB489" s="30" t="s">
        <v>1006</v>
      </c>
      <c r="AC489" s="30" t="n">
        <v>60.76</v>
      </c>
      <c r="AD489" s="30" t="s">
        <v>1006</v>
      </c>
      <c r="AE489" s="30" t="n">
        <v>17.64</v>
      </c>
      <c r="AF489" s="30" t="s">
        <v>1006</v>
      </c>
      <c r="AG489" s="30" t="n">
        <v>0</v>
      </c>
      <c r="AH489" s="30" t="s">
        <v>1006</v>
      </c>
      <c r="AI489" s="30" t="n">
        <v>0</v>
      </c>
      <c r="AJ489" s="30" t="s">
        <v>1006</v>
      </c>
      <c r="AK489" s="30" t="n">
        <v>0</v>
      </c>
      <c r="AL489" s="30" t="s">
        <v>1006</v>
      </c>
      <c r="AM489" s="30" t="n">
        <v>15.22</v>
      </c>
      <c r="AN489" s="30" t="s">
        <v>1006</v>
      </c>
      <c r="AO489" s="30" t="n">
        <v>65.23</v>
      </c>
      <c r="AP489" s="30" t="s">
        <v>1005</v>
      </c>
      <c r="AQ489" s="30" t="n">
        <v>65.23</v>
      </c>
      <c r="AR489" s="30" t="s">
        <v>1005</v>
      </c>
      <c r="AS489" s="30" t="n">
        <v>53.28</v>
      </c>
      <c r="AT489" s="30" t="s">
        <v>1005</v>
      </c>
      <c r="AU489" s="30" t="n">
        <v>459.64</v>
      </c>
      <c r="AV489" s="30" t="n">
        <v>0.31103</v>
      </c>
      <c r="AW489" s="30" t="s">
        <v>1016</v>
      </c>
      <c r="AX489" s="30" t="s">
        <v>1008</v>
      </c>
      <c r="AY489" s="30" t="n">
        <v>1</v>
      </c>
      <c r="AZ489" s="30"/>
    </row>
    <row collapsed="false" customFormat="true" customHeight="true" hidden="false" ht="33" outlineLevel="0" r="490" s="73">
      <c r="A490" s="30" t="n">
        <v>536</v>
      </c>
      <c r="B490" s="30" t="s">
        <v>737</v>
      </c>
      <c r="C490" s="30" t="s">
        <v>1009</v>
      </c>
      <c r="D490" s="30" t="s">
        <v>999</v>
      </c>
      <c r="E490" s="30" t="s">
        <v>1010</v>
      </c>
      <c r="F490" s="30" t="s">
        <v>1001</v>
      </c>
      <c r="G490" s="30" t="s">
        <v>1002</v>
      </c>
      <c r="H490" s="30" t="s">
        <v>1003</v>
      </c>
      <c r="I490" s="30" t="n">
        <v>1</v>
      </c>
      <c r="J490" s="30"/>
      <c r="K490" s="30" t="n">
        <v>80</v>
      </c>
      <c r="L490" s="30" t="n">
        <v>5.5</v>
      </c>
      <c r="M490" s="30" t="s">
        <v>1015</v>
      </c>
      <c r="N490" s="30" t="s">
        <v>54</v>
      </c>
      <c r="O490" s="30"/>
      <c r="P490" s="30"/>
      <c r="Q490" s="30"/>
      <c r="R490" s="30"/>
      <c r="S490" s="30"/>
      <c r="T490" s="30"/>
      <c r="U490" s="30" t="n">
        <v>654.01</v>
      </c>
      <c r="V490" s="30" t="n">
        <v>939.46</v>
      </c>
      <c r="W490" s="30" t="n">
        <v>91.27</v>
      </c>
      <c r="X490" s="30" t="s">
        <v>1006</v>
      </c>
      <c r="Y490" s="30" t="n">
        <v>91.27</v>
      </c>
      <c r="Z490" s="30" t="s">
        <v>1006</v>
      </c>
      <c r="AA490" s="30" t="n">
        <v>91.27</v>
      </c>
      <c r="AB490" s="30" t="s">
        <v>1006</v>
      </c>
      <c r="AC490" s="30" t="n">
        <v>91.27</v>
      </c>
      <c r="AD490" s="30" t="s">
        <v>1006</v>
      </c>
      <c r="AE490" s="30" t="n">
        <v>26.5</v>
      </c>
      <c r="AF490" s="30" t="s">
        <v>1006</v>
      </c>
      <c r="AG490" s="30" t="n">
        <v>0</v>
      </c>
      <c r="AH490" s="30" t="s">
        <v>1006</v>
      </c>
      <c r="AI490" s="30" t="n">
        <v>0</v>
      </c>
      <c r="AJ490" s="30" t="s">
        <v>1006</v>
      </c>
      <c r="AK490" s="30" t="n">
        <v>0</v>
      </c>
      <c r="AL490" s="30" t="s">
        <v>1006</v>
      </c>
      <c r="AM490" s="30" t="n">
        <v>22.33</v>
      </c>
      <c r="AN490" s="30" t="s">
        <v>1006</v>
      </c>
      <c r="AO490" s="30" t="n">
        <v>95.72</v>
      </c>
      <c r="AP490" s="30" t="s">
        <v>1005</v>
      </c>
      <c r="AQ490" s="30" t="n">
        <v>95.72</v>
      </c>
      <c r="AR490" s="30" t="s">
        <v>1005</v>
      </c>
      <c r="AS490" s="30" t="n">
        <v>62.29</v>
      </c>
      <c r="AT490" s="30" t="s">
        <v>1005</v>
      </c>
      <c r="AU490" s="30" t="n">
        <v>667.64</v>
      </c>
      <c r="AV490" s="30" t="n">
        <v>0.34313</v>
      </c>
      <c r="AW490" s="30" t="s">
        <v>1016</v>
      </c>
      <c r="AX490" s="30" t="s">
        <v>1008</v>
      </c>
      <c r="AY490" s="30" t="n">
        <v>1</v>
      </c>
      <c r="AZ490" s="30"/>
    </row>
    <row collapsed="false" customFormat="true" customHeight="true" hidden="false" ht="33" outlineLevel="0" r="491" s="73">
      <c r="A491" s="30" t="n">
        <v>537</v>
      </c>
      <c r="B491" s="30" t="s">
        <v>738</v>
      </c>
      <c r="C491" s="30" t="s">
        <v>1009</v>
      </c>
      <c r="D491" s="30" t="s">
        <v>999</v>
      </c>
      <c r="E491" s="30" t="s">
        <v>1010</v>
      </c>
      <c r="F491" s="30" t="s">
        <v>1001</v>
      </c>
      <c r="G491" s="30" t="s">
        <v>1002</v>
      </c>
      <c r="H491" s="30" t="s">
        <v>1003</v>
      </c>
      <c r="I491" s="30" t="n">
        <v>1</v>
      </c>
      <c r="J491" s="30"/>
      <c r="K491" s="30" t="n">
        <v>80</v>
      </c>
      <c r="L491" s="30" t="n">
        <v>5.5</v>
      </c>
      <c r="M491" s="30" t="s">
        <v>1015</v>
      </c>
      <c r="N491" s="30" t="s">
        <v>54</v>
      </c>
      <c r="O491" s="30"/>
      <c r="P491" s="30"/>
      <c r="Q491" s="30"/>
      <c r="R491" s="30"/>
      <c r="S491" s="30"/>
      <c r="T491" s="30"/>
      <c r="U491" s="30" t="n">
        <v>707.1</v>
      </c>
      <c r="V491" s="30" t="n">
        <v>704.83</v>
      </c>
      <c r="W491" s="30" t="n">
        <v>90.15</v>
      </c>
      <c r="X491" s="30" t="s">
        <v>1006</v>
      </c>
      <c r="Y491" s="30" t="n">
        <v>90.15</v>
      </c>
      <c r="Z491" s="30" t="s">
        <v>1006</v>
      </c>
      <c r="AA491" s="30" t="n">
        <v>90.15</v>
      </c>
      <c r="AB491" s="30" t="s">
        <v>1006</v>
      </c>
      <c r="AC491" s="30" t="n">
        <v>70.46</v>
      </c>
      <c r="AD491" s="30" t="s">
        <v>1006</v>
      </c>
      <c r="AE491" s="30" t="n">
        <v>26.17</v>
      </c>
      <c r="AF491" s="30" t="s">
        <v>1006</v>
      </c>
      <c r="AG491" s="30" t="n">
        <v>0</v>
      </c>
      <c r="AH491" s="30" t="s">
        <v>1006</v>
      </c>
      <c r="AI491" s="30" t="n">
        <v>0</v>
      </c>
      <c r="AJ491" s="30" t="s">
        <v>1006</v>
      </c>
      <c r="AK491" s="30" t="n">
        <v>0</v>
      </c>
      <c r="AL491" s="30" t="s">
        <v>1006</v>
      </c>
      <c r="AM491" s="30" t="n">
        <v>0</v>
      </c>
      <c r="AN491" s="30"/>
      <c r="AO491" s="30" t="n">
        <v>69.86</v>
      </c>
      <c r="AP491" s="30" t="s">
        <v>1005</v>
      </c>
      <c r="AQ491" s="30" t="n">
        <v>83.73</v>
      </c>
      <c r="AR491" s="30" t="s">
        <v>1005</v>
      </c>
      <c r="AS491" s="30" t="n">
        <v>72.42</v>
      </c>
      <c r="AT491" s="30" t="s">
        <v>1005</v>
      </c>
      <c r="AU491" s="30" t="n">
        <v>593.09</v>
      </c>
      <c r="AV491" s="30" t="n">
        <v>0.34313</v>
      </c>
      <c r="AW491" s="30" t="s">
        <v>1016</v>
      </c>
      <c r="AX491" s="30" t="s">
        <v>1008</v>
      </c>
      <c r="AY491" s="30" t="n">
        <v>1</v>
      </c>
      <c r="AZ491" s="30"/>
    </row>
    <row collapsed="false" customFormat="true" customHeight="true" hidden="false" ht="33" outlineLevel="0" r="492" s="73">
      <c r="A492" s="30" t="n">
        <v>538</v>
      </c>
      <c r="B492" s="30" t="s">
        <v>739</v>
      </c>
      <c r="C492" s="30" t="s">
        <v>1009</v>
      </c>
      <c r="D492" s="30" t="s">
        <v>999</v>
      </c>
      <c r="E492" s="30" t="s">
        <v>1010</v>
      </c>
      <c r="F492" s="30" t="s">
        <v>1001</v>
      </c>
      <c r="G492" s="30" t="s">
        <v>1002</v>
      </c>
      <c r="H492" s="30" t="s">
        <v>1003</v>
      </c>
      <c r="I492" s="30" t="n">
        <v>1</v>
      </c>
      <c r="J492" s="30"/>
      <c r="K492" s="30" t="n">
        <v>80</v>
      </c>
      <c r="L492" s="30" t="n">
        <v>5.5</v>
      </c>
      <c r="M492" s="30" t="s">
        <v>1015</v>
      </c>
      <c r="N492" s="30" t="s">
        <v>54</v>
      </c>
      <c r="O492" s="30"/>
      <c r="P492" s="30"/>
      <c r="Q492" s="30"/>
      <c r="R492" s="30"/>
      <c r="S492" s="30"/>
      <c r="T492" s="30"/>
      <c r="U492" s="30" t="n">
        <v>844.69</v>
      </c>
      <c r="V492" s="30" t="n">
        <v>984.81</v>
      </c>
      <c r="W492" s="30" t="n">
        <v>130.03</v>
      </c>
      <c r="X492" s="30" t="s">
        <v>1006</v>
      </c>
      <c r="Y492" s="30" t="n">
        <v>130.03</v>
      </c>
      <c r="Z492" s="30" t="s">
        <v>1006</v>
      </c>
      <c r="AA492" s="30" t="n">
        <v>130.03</v>
      </c>
      <c r="AB492" s="30" t="s">
        <v>1006</v>
      </c>
      <c r="AC492" s="30" t="n">
        <v>101.78</v>
      </c>
      <c r="AD492" s="30" t="s">
        <v>1006</v>
      </c>
      <c r="AE492" s="30" t="n">
        <v>37.75</v>
      </c>
      <c r="AF492" s="30" t="s">
        <v>1006</v>
      </c>
      <c r="AG492" s="30" t="n">
        <v>0</v>
      </c>
      <c r="AH492" s="30" t="s">
        <v>1006</v>
      </c>
      <c r="AI492" s="30" t="n">
        <v>0</v>
      </c>
      <c r="AJ492" s="30" t="s">
        <v>1006</v>
      </c>
      <c r="AK492" s="30" t="n">
        <v>0</v>
      </c>
      <c r="AL492" s="30" t="s">
        <v>1006</v>
      </c>
      <c r="AM492" s="30" t="n">
        <v>0</v>
      </c>
      <c r="AN492" s="30"/>
      <c r="AO492" s="30" t="n">
        <v>89.79</v>
      </c>
      <c r="AP492" s="30" t="s">
        <v>1005</v>
      </c>
      <c r="AQ492" s="30" t="n">
        <v>139.59</v>
      </c>
      <c r="AR492" s="30" t="s">
        <v>1005</v>
      </c>
      <c r="AS492" s="30" t="n">
        <v>96.58</v>
      </c>
      <c r="AT492" s="30" t="s">
        <v>1005</v>
      </c>
      <c r="AU492" s="30" t="n">
        <v>855.58</v>
      </c>
      <c r="AV492" s="30" t="n">
        <v>0.4254</v>
      </c>
      <c r="AW492" s="30" t="s">
        <v>1016</v>
      </c>
      <c r="AX492" s="30" t="s">
        <v>1008</v>
      </c>
      <c r="AY492" s="30" t="n">
        <v>1</v>
      </c>
      <c r="AZ492" s="30"/>
    </row>
    <row collapsed="false" customFormat="true" customHeight="true" hidden="false" ht="33" outlineLevel="0" r="493" s="73">
      <c r="A493" s="30" t="n">
        <v>539</v>
      </c>
      <c r="B493" s="30" t="s">
        <v>740</v>
      </c>
      <c r="C493" s="30" t="s">
        <v>1009</v>
      </c>
      <c r="D493" s="30" t="s">
        <v>999</v>
      </c>
      <c r="E493" s="30" t="s">
        <v>1010</v>
      </c>
      <c r="F493" s="30" t="s">
        <v>1001</v>
      </c>
      <c r="G493" s="30" t="s">
        <v>1002</v>
      </c>
      <c r="H493" s="30" t="s">
        <v>1003</v>
      </c>
      <c r="I493" s="30" t="n">
        <v>1</v>
      </c>
      <c r="J493" s="30"/>
      <c r="K493" s="30" t="n">
        <v>80</v>
      </c>
      <c r="L493" s="30" t="n">
        <v>5.5</v>
      </c>
      <c r="M493" s="30" t="s">
        <v>1015</v>
      </c>
      <c r="N493" s="30" t="s">
        <v>54</v>
      </c>
      <c r="O493" s="30"/>
      <c r="P493" s="30"/>
      <c r="Q493" s="30"/>
      <c r="R493" s="30"/>
      <c r="S493" s="30"/>
      <c r="T493" s="30"/>
      <c r="U493" s="30" t="n">
        <v>430.95</v>
      </c>
      <c r="V493" s="30" t="n">
        <v>466.28</v>
      </c>
      <c r="W493" s="30" t="n">
        <v>55.79</v>
      </c>
      <c r="X493" s="30" t="s">
        <v>1006</v>
      </c>
      <c r="Y493" s="30" t="n">
        <v>55.79</v>
      </c>
      <c r="Z493" s="30" t="s">
        <v>1006</v>
      </c>
      <c r="AA493" s="30" t="n">
        <v>55.79</v>
      </c>
      <c r="AB493" s="30" t="s">
        <v>1006</v>
      </c>
      <c r="AC493" s="30" t="n">
        <v>42.03</v>
      </c>
      <c r="AD493" s="30" t="s">
        <v>1006</v>
      </c>
      <c r="AE493" s="30" t="n">
        <v>16.2</v>
      </c>
      <c r="AF493" s="30" t="s">
        <v>1006</v>
      </c>
      <c r="AG493" s="30" t="n">
        <v>0</v>
      </c>
      <c r="AH493" s="30" t="s">
        <v>1006</v>
      </c>
      <c r="AI493" s="30" t="n">
        <v>0</v>
      </c>
      <c r="AJ493" s="30" t="s">
        <v>1006</v>
      </c>
      <c r="AK493" s="30" t="n">
        <v>0</v>
      </c>
      <c r="AL493" s="30" t="s">
        <v>1006</v>
      </c>
      <c r="AM493" s="30" t="n">
        <v>0</v>
      </c>
      <c r="AN493" s="30"/>
      <c r="AO493" s="30" t="n">
        <v>45.07</v>
      </c>
      <c r="AP493" s="30" t="s">
        <v>1005</v>
      </c>
      <c r="AQ493" s="30" t="n">
        <v>55.07</v>
      </c>
      <c r="AR493" s="30" t="s">
        <v>1005</v>
      </c>
      <c r="AS493" s="30" t="n">
        <v>67.52</v>
      </c>
      <c r="AT493" s="30" t="s">
        <v>1005</v>
      </c>
      <c r="AU493" s="30" t="n">
        <v>393.26</v>
      </c>
      <c r="AV493" s="30" t="n">
        <v>0.22073</v>
      </c>
      <c r="AW493" s="30" t="s">
        <v>1016</v>
      </c>
      <c r="AX493" s="30" t="s">
        <v>1008</v>
      </c>
      <c r="AY493" s="30" t="n">
        <v>1</v>
      </c>
      <c r="AZ493" s="30"/>
    </row>
    <row collapsed="false" customFormat="true" customHeight="true" hidden="false" ht="33" outlineLevel="0" r="494" s="73">
      <c r="A494" s="30" t="n">
        <v>540</v>
      </c>
      <c r="B494" s="30" t="s">
        <v>741</v>
      </c>
      <c r="C494" s="30" t="s">
        <v>1009</v>
      </c>
      <c r="D494" s="30" t="s">
        <v>999</v>
      </c>
      <c r="E494" s="30" t="s">
        <v>1010</v>
      </c>
      <c r="F494" s="30" t="s">
        <v>1001</v>
      </c>
      <c r="G494" s="30" t="s">
        <v>1002</v>
      </c>
      <c r="H494" s="30" t="s">
        <v>1003</v>
      </c>
      <c r="I494" s="30" t="n">
        <v>1</v>
      </c>
      <c r="J494" s="30"/>
      <c r="K494" s="30" t="n">
        <v>80</v>
      </c>
      <c r="L494" s="30" t="n">
        <v>5.5</v>
      </c>
      <c r="M494" s="30" t="s">
        <v>1015</v>
      </c>
      <c r="N494" s="30" t="s">
        <v>54</v>
      </c>
      <c r="O494" s="30"/>
      <c r="P494" s="30"/>
      <c r="Q494" s="30"/>
      <c r="R494" s="30"/>
      <c r="S494" s="30"/>
      <c r="T494" s="30"/>
      <c r="U494" s="30" t="n">
        <v>642.91</v>
      </c>
      <c r="V494" s="30" t="n">
        <v>712.52</v>
      </c>
      <c r="W494" s="30" t="n">
        <v>92.92</v>
      </c>
      <c r="X494" s="30" t="s">
        <v>1006</v>
      </c>
      <c r="Y494" s="30" t="n">
        <v>92.92</v>
      </c>
      <c r="Z494" s="30" t="s">
        <v>1006</v>
      </c>
      <c r="AA494" s="30" t="n">
        <v>92.92</v>
      </c>
      <c r="AB494" s="30" t="s">
        <v>1006</v>
      </c>
      <c r="AC494" s="30" t="n">
        <v>60.86</v>
      </c>
      <c r="AD494" s="30" t="s">
        <v>1006</v>
      </c>
      <c r="AE494" s="30" t="n">
        <v>26.98</v>
      </c>
      <c r="AF494" s="30" t="s">
        <v>1006</v>
      </c>
      <c r="AG494" s="30" t="n">
        <v>0</v>
      </c>
      <c r="AH494" s="30" t="s">
        <v>1006</v>
      </c>
      <c r="AI494" s="30" t="n">
        <v>0</v>
      </c>
      <c r="AJ494" s="30" t="s">
        <v>1006</v>
      </c>
      <c r="AK494" s="30" t="n">
        <v>0</v>
      </c>
      <c r="AL494" s="30" t="s">
        <v>1006</v>
      </c>
      <c r="AM494" s="30" t="n">
        <v>0</v>
      </c>
      <c r="AN494" s="30"/>
      <c r="AO494" s="30" t="n">
        <v>97.45</v>
      </c>
      <c r="AP494" s="30" t="s">
        <v>1005</v>
      </c>
      <c r="AQ494" s="30" t="n">
        <v>39.02</v>
      </c>
      <c r="AR494" s="30" t="s">
        <v>1005</v>
      </c>
      <c r="AS494" s="30" t="n">
        <v>81.51</v>
      </c>
      <c r="AT494" s="30" t="s">
        <v>1005</v>
      </c>
      <c r="AU494" s="30" t="n">
        <v>584.58</v>
      </c>
      <c r="AV494" s="30" t="n">
        <v>0.34313</v>
      </c>
      <c r="AW494" s="30" t="s">
        <v>1016</v>
      </c>
      <c r="AX494" s="30" t="s">
        <v>1008</v>
      </c>
      <c r="AY494" s="30" t="n">
        <v>3</v>
      </c>
      <c r="AZ494" s="30"/>
    </row>
    <row collapsed="false" customFormat="true" customHeight="true" hidden="false" ht="33" outlineLevel="0" r="495" s="73">
      <c r="A495" s="30" t="n">
        <v>541</v>
      </c>
      <c r="B495" s="30" t="s">
        <v>742</v>
      </c>
      <c r="C495" s="30" t="s">
        <v>1009</v>
      </c>
      <c r="D495" s="30" t="s">
        <v>999</v>
      </c>
      <c r="E495" s="30" t="s">
        <v>1010</v>
      </c>
      <c r="F495" s="30" t="s">
        <v>1001</v>
      </c>
      <c r="G495" s="30" t="s">
        <v>1002</v>
      </c>
      <c r="H495" s="30" t="s">
        <v>1003</v>
      </c>
      <c r="I495" s="30" t="n">
        <v>4</v>
      </c>
      <c r="J495" s="30"/>
      <c r="K495" s="30" t="n">
        <v>80</v>
      </c>
      <c r="L495" s="30" t="n">
        <v>5.5</v>
      </c>
      <c r="M495" s="30" t="s">
        <v>1015</v>
      </c>
      <c r="N495" s="30" t="s">
        <v>53</v>
      </c>
      <c r="O495" s="30"/>
      <c r="P495" s="30"/>
      <c r="Q495" s="30"/>
      <c r="R495" s="30"/>
      <c r="S495" s="30"/>
      <c r="T495" s="30"/>
      <c r="U495" s="30" t="n">
        <v>3393.82</v>
      </c>
      <c r="V495" s="30" t="n">
        <v>3970.95</v>
      </c>
      <c r="W495" s="30" t="n">
        <v>364.64</v>
      </c>
      <c r="X495" s="30" t="s">
        <v>1006</v>
      </c>
      <c r="Y495" s="30" t="n">
        <v>364.64</v>
      </c>
      <c r="Z495" s="30" t="s">
        <v>1006</v>
      </c>
      <c r="AA495" s="30" t="n">
        <v>364.64</v>
      </c>
      <c r="AB495" s="30" t="s">
        <v>1006</v>
      </c>
      <c r="AC495" s="30" t="n">
        <v>364.64</v>
      </c>
      <c r="AD495" s="30" t="s">
        <v>1006</v>
      </c>
      <c r="AE495" s="30" t="n">
        <v>105.86</v>
      </c>
      <c r="AF495" s="30" t="s">
        <v>1006</v>
      </c>
      <c r="AG495" s="30" t="n">
        <v>0</v>
      </c>
      <c r="AH495" s="30" t="s">
        <v>1006</v>
      </c>
      <c r="AI495" s="30" t="n">
        <v>0</v>
      </c>
      <c r="AJ495" s="30" t="s">
        <v>1006</v>
      </c>
      <c r="AK495" s="30" t="n">
        <v>0</v>
      </c>
      <c r="AL495" s="30" t="s">
        <v>1006</v>
      </c>
      <c r="AM495" s="30" t="n">
        <v>89.24</v>
      </c>
      <c r="AN495" s="30" t="s">
        <v>1006</v>
      </c>
      <c r="AO495" s="30" t="n">
        <v>382.42</v>
      </c>
      <c r="AP495" s="30" t="s">
        <v>1005</v>
      </c>
      <c r="AQ495" s="30" t="n">
        <v>247.36</v>
      </c>
      <c r="AR495" s="30" t="s">
        <v>1005</v>
      </c>
      <c r="AS495" s="30" t="n">
        <v>364.98</v>
      </c>
      <c r="AT495" s="30" t="s">
        <v>1005</v>
      </c>
      <c r="AU495" s="30" t="n">
        <v>2648.42</v>
      </c>
      <c r="AV495" s="30" t="n">
        <v>2.101464</v>
      </c>
      <c r="AW495" s="30" t="s">
        <v>1016</v>
      </c>
      <c r="AX495" s="30" t="s">
        <v>1008</v>
      </c>
      <c r="AY495" s="30" t="n">
        <v>1</v>
      </c>
      <c r="AZ495" s="30"/>
    </row>
    <row collapsed="false" customFormat="true" customHeight="true" hidden="false" ht="33" outlineLevel="0" r="496" s="73">
      <c r="A496" s="30" t="n">
        <v>542</v>
      </c>
      <c r="B496" s="30" t="s">
        <v>743</v>
      </c>
      <c r="C496" s="30" t="s">
        <v>1009</v>
      </c>
      <c r="D496" s="30" t="s">
        <v>999</v>
      </c>
      <c r="E496" s="30" t="s">
        <v>1010</v>
      </c>
      <c r="F496" s="30" t="s">
        <v>1001</v>
      </c>
      <c r="G496" s="30" t="s">
        <v>1002</v>
      </c>
      <c r="H496" s="30" t="s">
        <v>1003</v>
      </c>
      <c r="I496" s="30" t="n">
        <v>0</v>
      </c>
      <c r="J496" s="30"/>
      <c r="K496" s="30" t="n">
        <v>65</v>
      </c>
      <c r="L496" s="30" t="n">
        <v>5.5</v>
      </c>
      <c r="M496" s="30" t="s">
        <v>1015</v>
      </c>
      <c r="N496" s="30" t="s">
        <v>53</v>
      </c>
      <c r="O496" s="30"/>
      <c r="P496" s="30"/>
      <c r="Q496" s="30"/>
      <c r="R496" s="30"/>
      <c r="S496" s="30"/>
      <c r="T496" s="30"/>
      <c r="U496" s="30" t="n">
        <v>287.13</v>
      </c>
      <c r="V496" s="30" t="n">
        <v>466.63</v>
      </c>
      <c r="W496" s="30" t="n">
        <v>49.09</v>
      </c>
      <c r="X496" s="30" t="s">
        <v>1006</v>
      </c>
      <c r="Y496" s="30" t="n">
        <v>49.09</v>
      </c>
      <c r="Z496" s="30" t="s">
        <v>1006</v>
      </c>
      <c r="AA496" s="30" t="n">
        <v>49.09</v>
      </c>
      <c r="AB496" s="30" t="s">
        <v>1006</v>
      </c>
      <c r="AC496" s="30" t="n">
        <v>49.09</v>
      </c>
      <c r="AD496" s="30" t="s">
        <v>1006</v>
      </c>
      <c r="AE496" s="30" t="n">
        <v>14.25</v>
      </c>
      <c r="AF496" s="30" t="s">
        <v>1006</v>
      </c>
      <c r="AG496" s="30" t="n">
        <v>0</v>
      </c>
      <c r="AH496" s="30" t="s">
        <v>1006</v>
      </c>
      <c r="AI496" s="30" t="n">
        <v>0</v>
      </c>
      <c r="AJ496" s="30" t="s">
        <v>1006</v>
      </c>
      <c r="AK496" s="30" t="n">
        <v>0</v>
      </c>
      <c r="AL496" s="30" t="s">
        <v>1006</v>
      </c>
      <c r="AM496" s="30" t="n">
        <v>12.29</v>
      </c>
      <c r="AN496" s="30" t="s">
        <v>1006</v>
      </c>
      <c r="AO496" s="30" t="n">
        <v>52.68</v>
      </c>
      <c r="AP496" s="30" t="s">
        <v>1006</v>
      </c>
      <c r="AQ496" s="30" t="n">
        <v>52.68</v>
      </c>
      <c r="AR496" s="30" t="s">
        <v>1006</v>
      </c>
      <c r="AS496" s="30" t="n">
        <v>52.68</v>
      </c>
      <c r="AT496" s="30" t="s">
        <v>1006</v>
      </c>
      <c r="AU496" s="30" t="n">
        <v>380.94</v>
      </c>
      <c r="AV496" s="30" t="n">
        <v>0.19154</v>
      </c>
      <c r="AW496" s="30" t="s">
        <v>1016</v>
      </c>
      <c r="AX496" s="30" t="s">
        <v>1008</v>
      </c>
      <c r="AY496" s="30" t="n">
        <v>3</v>
      </c>
      <c r="AZ496" s="30"/>
    </row>
    <row collapsed="false" customFormat="true" customHeight="true" hidden="false" ht="33" outlineLevel="0" r="497" s="73">
      <c r="A497" s="30" t="n">
        <v>610</v>
      </c>
      <c r="B497" s="30" t="s">
        <v>840</v>
      </c>
      <c r="C497" s="30" t="s">
        <v>1009</v>
      </c>
      <c r="D497" s="30" t="s">
        <v>999</v>
      </c>
      <c r="E497" s="30" t="s">
        <v>1010</v>
      </c>
      <c r="F497" s="30" t="s">
        <v>1011</v>
      </c>
      <c r="G497" s="30" t="s">
        <v>1002</v>
      </c>
      <c r="H497" s="30" t="s">
        <v>1003</v>
      </c>
      <c r="I497" s="30" t="n">
        <v>0</v>
      </c>
      <c r="J497" s="30"/>
      <c r="K497" s="30" t="n">
        <v>65</v>
      </c>
      <c r="L497" s="30"/>
      <c r="M497" s="30" t="s">
        <v>1015</v>
      </c>
      <c r="N497" s="30" t="s">
        <v>54</v>
      </c>
      <c r="O497" s="30"/>
      <c r="P497" s="30"/>
      <c r="Q497" s="30"/>
      <c r="R497" s="30"/>
      <c r="S497" s="30"/>
      <c r="T497" s="30"/>
      <c r="U497" s="30" t="n">
        <v>99.94</v>
      </c>
      <c r="V497" s="30" t="n">
        <v>99.94</v>
      </c>
      <c r="W497" s="30" t="n">
        <v>15.47</v>
      </c>
      <c r="X497" s="30" t="s">
        <v>1006</v>
      </c>
      <c r="Y497" s="30" t="n">
        <v>15.4</v>
      </c>
      <c r="Z497" s="30" t="s">
        <v>1006</v>
      </c>
      <c r="AA497" s="30" t="n">
        <v>15.46</v>
      </c>
      <c r="AB497" s="30" t="s">
        <v>1006</v>
      </c>
      <c r="AC497" s="30" t="n">
        <v>15.35</v>
      </c>
      <c r="AD497" s="30" t="s">
        <v>1006</v>
      </c>
      <c r="AE497" s="30" t="n">
        <v>4.46</v>
      </c>
      <c r="AF497" s="30" t="s">
        <v>1006</v>
      </c>
      <c r="AG497" s="30" t="n">
        <v>0</v>
      </c>
      <c r="AH497" s="30" t="s">
        <v>1006</v>
      </c>
      <c r="AI497" s="30" t="n">
        <v>0</v>
      </c>
      <c r="AJ497" s="30" t="s">
        <v>1006</v>
      </c>
      <c r="AK497" s="30" t="n">
        <v>0</v>
      </c>
      <c r="AL497" s="30" t="s">
        <v>1006</v>
      </c>
      <c r="AM497" s="30" t="n">
        <v>0</v>
      </c>
      <c r="AN497" s="30" t="s">
        <v>1006</v>
      </c>
      <c r="AO497" s="30" t="n">
        <v>14.96</v>
      </c>
      <c r="AP497" s="30" t="s">
        <v>1006</v>
      </c>
      <c r="AQ497" s="30" t="n">
        <v>14.96</v>
      </c>
      <c r="AR497" s="30" t="s">
        <v>1006</v>
      </c>
      <c r="AS497" s="30" t="n">
        <v>15.01</v>
      </c>
      <c r="AT497" s="30" t="s">
        <v>1006</v>
      </c>
      <c r="AU497" s="30" t="n">
        <v>111.07</v>
      </c>
      <c r="AV497" s="30" t="n">
        <v>0.066</v>
      </c>
      <c r="AW497" s="30" t="s">
        <v>1016</v>
      </c>
      <c r="AX497" s="30" t="s">
        <v>1008</v>
      </c>
      <c r="AY497" s="30" t="n">
        <v>1</v>
      </c>
      <c r="AZ497" s="30"/>
    </row>
    <row collapsed="false" customFormat="true" customHeight="true" hidden="false" ht="33" outlineLevel="0" r="498" s="73">
      <c r="A498" s="30" t="n">
        <v>543</v>
      </c>
      <c r="B498" s="30" t="s">
        <v>744</v>
      </c>
      <c r="C498" s="30" t="s">
        <v>1009</v>
      </c>
      <c r="D498" s="30" t="s">
        <v>999</v>
      </c>
      <c r="E498" s="30" t="s">
        <v>1010</v>
      </c>
      <c r="F498" s="30" t="s">
        <v>1001</v>
      </c>
      <c r="G498" s="30" t="s">
        <v>1002</v>
      </c>
      <c r="H498" s="30" t="s">
        <v>1003</v>
      </c>
      <c r="I498" s="30" t="n">
        <v>3</v>
      </c>
      <c r="J498" s="30"/>
      <c r="K498" s="30" t="n">
        <v>80</v>
      </c>
      <c r="L498" s="30" t="n">
        <v>5.5</v>
      </c>
      <c r="M498" s="30" t="s">
        <v>1015</v>
      </c>
      <c r="N498" s="30" t="s">
        <v>53</v>
      </c>
      <c r="O498" s="30"/>
      <c r="P498" s="30"/>
      <c r="Q498" s="30"/>
      <c r="R498" s="30"/>
      <c r="S498" s="30"/>
      <c r="T498" s="30"/>
      <c r="U498" s="30" t="n">
        <v>1182.8</v>
      </c>
      <c r="V498" s="30" t="n">
        <v>2117.5</v>
      </c>
      <c r="W498" s="30" t="n">
        <v>199.2</v>
      </c>
      <c r="X498" s="30" t="s">
        <v>1006</v>
      </c>
      <c r="Y498" s="30" t="n">
        <v>199.2</v>
      </c>
      <c r="Z498" s="30" t="s">
        <v>1006</v>
      </c>
      <c r="AA498" s="30" t="n">
        <v>199.2</v>
      </c>
      <c r="AB498" s="30" t="s">
        <v>1006</v>
      </c>
      <c r="AC498" s="30" t="n">
        <v>199.2</v>
      </c>
      <c r="AD498" s="30" t="s">
        <v>1006</v>
      </c>
      <c r="AE498" s="30" t="n">
        <v>57.84</v>
      </c>
      <c r="AF498" s="30" t="s">
        <v>1006</v>
      </c>
      <c r="AG498" s="30" t="n">
        <v>0</v>
      </c>
      <c r="AH498" s="30" t="s">
        <v>1006</v>
      </c>
      <c r="AI498" s="30" t="n">
        <v>0</v>
      </c>
      <c r="AJ498" s="30" t="s">
        <v>1006</v>
      </c>
      <c r="AK498" s="30" t="n">
        <v>0</v>
      </c>
      <c r="AL498" s="30" t="s">
        <v>1006</v>
      </c>
      <c r="AM498" s="30" t="n">
        <v>37.43</v>
      </c>
      <c r="AN498" s="30" t="s">
        <v>1006</v>
      </c>
      <c r="AO498" s="30" t="n">
        <v>138.63</v>
      </c>
      <c r="AP498" s="30" t="s">
        <v>1005</v>
      </c>
      <c r="AQ498" s="30" t="n">
        <v>104.97</v>
      </c>
      <c r="AR498" s="30" t="s">
        <v>1005</v>
      </c>
      <c r="AS498" s="30" t="n">
        <v>160.49</v>
      </c>
      <c r="AT498" s="30" t="s">
        <v>1005</v>
      </c>
      <c r="AU498" s="30" t="n">
        <v>1296.16</v>
      </c>
      <c r="AV498" s="30" t="n">
        <v>0.76737</v>
      </c>
      <c r="AW498" s="30" t="s">
        <v>1016</v>
      </c>
      <c r="AX498" s="30" t="s">
        <v>1008</v>
      </c>
      <c r="AY498" s="30" t="n">
        <v>1</v>
      </c>
      <c r="AZ498" s="30"/>
    </row>
    <row collapsed="false" customFormat="true" customHeight="true" hidden="false" ht="33" outlineLevel="0" r="499" s="73">
      <c r="A499" s="30" t="n">
        <v>544</v>
      </c>
      <c r="B499" s="30" t="s">
        <v>746</v>
      </c>
      <c r="C499" s="30" t="s">
        <v>1009</v>
      </c>
      <c r="D499" s="30" t="s">
        <v>999</v>
      </c>
      <c r="E499" s="30" t="s">
        <v>1000</v>
      </c>
      <c r="F499" s="30" t="s">
        <v>1014</v>
      </c>
      <c r="G499" s="30" t="s">
        <v>1002</v>
      </c>
      <c r="H499" s="30" t="s">
        <v>1003</v>
      </c>
      <c r="I499" s="30" t="n">
        <v>1</v>
      </c>
      <c r="J499" s="30"/>
      <c r="K499" s="30" t="n">
        <v>80</v>
      </c>
      <c r="L499" s="30" t="n">
        <v>7</v>
      </c>
      <c r="M499" s="30" t="s">
        <v>1017</v>
      </c>
      <c r="N499" s="30" t="s">
        <v>54</v>
      </c>
      <c r="O499" s="30"/>
      <c r="P499" s="30"/>
      <c r="Q499" s="30"/>
      <c r="R499" s="30"/>
      <c r="S499" s="30"/>
      <c r="T499" s="30"/>
      <c r="U499" s="30" t="n">
        <v>464.89</v>
      </c>
      <c r="V499" s="30" t="n">
        <v>488.57</v>
      </c>
      <c r="W499" s="30" t="n">
        <v>123.46</v>
      </c>
      <c r="X499" s="30" t="s">
        <v>1005</v>
      </c>
      <c r="Y499" s="30" t="n">
        <v>92.79</v>
      </c>
      <c r="Z499" s="30" t="s">
        <v>1005</v>
      </c>
      <c r="AA499" s="30" t="n">
        <v>119.4</v>
      </c>
      <c r="AB499" s="30" t="s">
        <v>1005</v>
      </c>
      <c r="AC499" s="30" t="n">
        <v>64.86</v>
      </c>
      <c r="AD499" s="30" t="s">
        <v>1005</v>
      </c>
      <c r="AE499" s="30" t="n">
        <v>16.5</v>
      </c>
      <c r="AF499" s="30" t="s">
        <v>1005</v>
      </c>
      <c r="AG499" s="30" t="n">
        <v>0</v>
      </c>
      <c r="AH499" s="30" t="s">
        <v>1006</v>
      </c>
      <c r="AI499" s="30" t="n">
        <v>0</v>
      </c>
      <c r="AJ499" s="30" t="s">
        <v>1006</v>
      </c>
      <c r="AK499" s="30" t="n">
        <v>0</v>
      </c>
      <c r="AL499" s="30" t="s">
        <v>1006</v>
      </c>
      <c r="AM499" s="30" t="n">
        <v>0</v>
      </c>
      <c r="AN499" s="30" t="s">
        <v>1005</v>
      </c>
      <c r="AO499" s="30" t="n">
        <v>51.69</v>
      </c>
      <c r="AP499" s="30" t="s">
        <v>1005</v>
      </c>
      <c r="AQ499" s="30" t="n">
        <v>55.01</v>
      </c>
      <c r="AR499" s="30" t="s">
        <v>1005</v>
      </c>
      <c r="AS499" s="30" t="n">
        <v>71.52</v>
      </c>
      <c r="AT499" s="30" t="s">
        <v>1005</v>
      </c>
      <c r="AU499" s="30" t="n">
        <v>595.23</v>
      </c>
      <c r="AV499" s="30" t="n">
        <v>0.26789</v>
      </c>
      <c r="AW499" s="30" t="s">
        <v>1018</v>
      </c>
      <c r="AX499" s="30" t="s">
        <v>1008</v>
      </c>
      <c r="AY499" s="30" t="n">
        <v>1</v>
      </c>
      <c r="AZ499" s="30"/>
    </row>
    <row collapsed="false" customFormat="true" customHeight="true" hidden="false" ht="33" outlineLevel="0" r="500" s="73">
      <c r="A500" s="30" t="n">
        <v>545</v>
      </c>
      <c r="B500" s="30" t="s">
        <v>748</v>
      </c>
      <c r="C500" s="30" t="s">
        <v>1009</v>
      </c>
      <c r="D500" s="30" t="s">
        <v>999</v>
      </c>
      <c r="E500" s="30" t="s">
        <v>1010</v>
      </c>
      <c r="F500" s="30" t="s">
        <v>1011</v>
      </c>
      <c r="G500" s="30" t="s">
        <v>1002</v>
      </c>
      <c r="H500" s="30" t="s">
        <v>1003</v>
      </c>
      <c r="I500" s="30" t="n">
        <v>1</v>
      </c>
      <c r="J500" s="30"/>
      <c r="K500" s="30" t="n">
        <v>57</v>
      </c>
      <c r="L500" s="30"/>
      <c r="M500" s="30" t="s">
        <v>1021</v>
      </c>
      <c r="N500" s="30" t="s">
        <v>54</v>
      </c>
      <c r="O500" s="30"/>
      <c r="P500" s="30"/>
      <c r="Q500" s="30"/>
      <c r="R500" s="30"/>
      <c r="S500" s="30"/>
      <c r="T500" s="30"/>
      <c r="U500" s="30" t="n">
        <v>451.46</v>
      </c>
      <c r="V500" s="30" t="n">
        <v>621.72</v>
      </c>
      <c r="W500" s="30" t="n">
        <v>120.4</v>
      </c>
      <c r="X500" s="30" t="s">
        <v>1005</v>
      </c>
      <c r="Y500" s="30" t="n">
        <v>87.62</v>
      </c>
      <c r="Z500" s="30" t="s">
        <v>1005</v>
      </c>
      <c r="AA500" s="30" t="n">
        <v>103.71</v>
      </c>
      <c r="AB500" s="30" t="s">
        <v>1005</v>
      </c>
      <c r="AC500" s="30" t="n">
        <v>35.87</v>
      </c>
      <c r="AD500" s="30" t="s">
        <v>1005</v>
      </c>
      <c r="AE500" s="30" t="n">
        <v>20.54</v>
      </c>
      <c r="AF500" s="30" t="s">
        <v>1005</v>
      </c>
      <c r="AG500" s="30" t="n">
        <v>0</v>
      </c>
      <c r="AH500" s="30" t="s">
        <v>1005</v>
      </c>
      <c r="AI500" s="30" t="n">
        <v>0</v>
      </c>
      <c r="AJ500" s="30" t="s">
        <v>1005</v>
      </c>
      <c r="AK500" s="30" t="n">
        <v>0</v>
      </c>
      <c r="AL500" s="30" t="s">
        <v>1005</v>
      </c>
      <c r="AM500" s="30" t="n">
        <v>0</v>
      </c>
      <c r="AN500" s="30" t="s">
        <v>1005</v>
      </c>
      <c r="AO500" s="30" t="n">
        <v>47.17</v>
      </c>
      <c r="AP500" s="30" t="s">
        <v>1005</v>
      </c>
      <c r="AQ500" s="30" t="n">
        <v>45.31</v>
      </c>
      <c r="AR500" s="30" t="s">
        <v>1005</v>
      </c>
      <c r="AS500" s="30" t="n">
        <v>65.54</v>
      </c>
      <c r="AT500" s="30" t="s">
        <v>1005</v>
      </c>
      <c r="AU500" s="30" t="n">
        <v>526.16</v>
      </c>
      <c r="AV500" s="30" t="n">
        <v>0.262585</v>
      </c>
      <c r="AW500" s="30"/>
      <c r="AX500" s="30" t="s">
        <v>1008</v>
      </c>
      <c r="AY500" s="30" t="n">
        <v>1</v>
      </c>
      <c r="AZ500" s="30"/>
    </row>
    <row collapsed="false" customFormat="true" customHeight="true" hidden="false" ht="33" outlineLevel="0" r="501" s="73">
      <c r="A501" s="30" t="n">
        <v>546</v>
      </c>
      <c r="B501" s="30" t="s">
        <v>749</v>
      </c>
      <c r="C501" s="30" t="s">
        <v>1009</v>
      </c>
      <c r="D501" s="30" t="s">
        <v>999</v>
      </c>
      <c r="E501" s="30" t="s">
        <v>1010</v>
      </c>
      <c r="F501" s="30" t="s">
        <v>1011</v>
      </c>
      <c r="G501" s="30" t="s">
        <v>1002</v>
      </c>
      <c r="H501" s="30" t="s">
        <v>1003</v>
      </c>
      <c r="I501" s="30" t="n">
        <v>1</v>
      </c>
      <c r="J501" s="30"/>
      <c r="K501" s="30" t="n">
        <v>57</v>
      </c>
      <c r="L501" s="30"/>
      <c r="M501" s="30" t="s">
        <v>1021</v>
      </c>
      <c r="N501" s="30" t="s">
        <v>54</v>
      </c>
      <c r="O501" s="30"/>
      <c r="P501" s="30"/>
      <c r="Q501" s="30"/>
      <c r="R501" s="30"/>
      <c r="S501" s="30"/>
      <c r="T501" s="30"/>
      <c r="U501" s="30" t="n">
        <v>465.7</v>
      </c>
      <c r="V501" s="30" t="n">
        <v>660.89</v>
      </c>
      <c r="W501" s="30" t="n">
        <v>131.34</v>
      </c>
      <c r="X501" s="30" t="s">
        <v>1005</v>
      </c>
      <c r="Y501" s="30" t="n">
        <v>91.74</v>
      </c>
      <c r="Z501" s="30" t="s">
        <v>1005</v>
      </c>
      <c r="AA501" s="30" t="n">
        <v>110.93</v>
      </c>
      <c r="AB501" s="30" t="s">
        <v>1005</v>
      </c>
      <c r="AC501" s="30" t="n">
        <v>34.25</v>
      </c>
      <c r="AD501" s="30" t="s">
        <v>1005</v>
      </c>
      <c r="AE501" s="30" t="n">
        <v>21.56</v>
      </c>
      <c r="AF501" s="30" t="s">
        <v>1005</v>
      </c>
      <c r="AG501" s="30" t="n">
        <v>0</v>
      </c>
      <c r="AH501" s="30" t="s">
        <v>1005</v>
      </c>
      <c r="AI501" s="30" t="n">
        <v>0</v>
      </c>
      <c r="AJ501" s="30" t="s">
        <v>1005</v>
      </c>
      <c r="AK501" s="30" t="n">
        <v>0</v>
      </c>
      <c r="AL501" s="30" t="s">
        <v>1005</v>
      </c>
      <c r="AM501" s="30" t="n">
        <v>0</v>
      </c>
      <c r="AN501" s="30" t="s">
        <v>1005</v>
      </c>
      <c r="AO501" s="30" t="n">
        <v>44.39</v>
      </c>
      <c r="AP501" s="30" t="s">
        <v>1005</v>
      </c>
      <c r="AQ501" s="30" t="n">
        <v>48.43</v>
      </c>
      <c r="AR501" s="30" t="s">
        <v>1005</v>
      </c>
      <c r="AS501" s="30" t="n">
        <v>70.3</v>
      </c>
      <c r="AT501" s="30" t="s">
        <v>1005</v>
      </c>
      <c r="AU501" s="30" t="n">
        <v>552.94</v>
      </c>
      <c r="AV501" s="30" t="n">
        <v>0.261563</v>
      </c>
      <c r="AW501" s="30"/>
      <c r="AX501" s="30" t="s">
        <v>1008</v>
      </c>
      <c r="AY501" s="30" t="n">
        <v>1</v>
      </c>
      <c r="AZ501" s="30"/>
    </row>
    <row collapsed="false" customFormat="true" customHeight="true" hidden="false" ht="33" outlineLevel="0" r="502" s="73">
      <c r="A502" s="30" t="n">
        <v>547</v>
      </c>
      <c r="B502" s="30" t="s">
        <v>750</v>
      </c>
      <c r="C502" s="30" t="s">
        <v>1009</v>
      </c>
      <c r="D502" s="30" t="s">
        <v>999</v>
      </c>
      <c r="E502" s="30" t="s">
        <v>1010</v>
      </c>
      <c r="F502" s="30" t="s">
        <v>1011</v>
      </c>
      <c r="G502" s="30" t="s">
        <v>1002</v>
      </c>
      <c r="H502" s="30" t="s">
        <v>1003</v>
      </c>
      <c r="I502" s="30" t="n">
        <v>1</v>
      </c>
      <c r="J502" s="30"/>
      <c r="K502" s="30" t="n">
        <v>57</v>
      </c>
      <c r="L502" s="30"/>
      <c r="M502" s="30" t="s">
        <v>1021</v>
      </c>
      <c r="N502" s="30" t="s">
        <v>54</v>
      </c>
      <c r="O502" s="30"/>
      <c r="P502" s="30"/>
      <c r="Q502" s="30"/>
      <c r="R502" s="30"/>
      <c r="S502" s="30"/>
      <c r="T502" s="30"/>
      <c r="U502" s="30" t="n">
        <v>489.14</v>
      </c>
      <c r="V502" s="30" t="n">
        <v>624.88</v>
      </c>
      <c r="W502" s="30" t="n">
        <v>121.98</v>
      </c>
      <c r="X502" s="30" t="s">
        <v>1005</v>
      </c>
      <c r="Y502" s="30" t="n">
        <v>86.55</v>
      </c>
      <c r="Z502" s="30" t="s">
        <v>1005</v>
      </c>
      <c r="AA502" s="30" t="n">
        <v>111.52</v>
      </c>
      <c r="AB502" s="30" t="s">
        <v>1005</v>
      </c>
      <c r="AC502" s="30" t="n">
        <v>34.28</v>
      </c>
      <c r="AD502" s="30" t="s">
        <v>1005</v>
      </c>
      <c r="AE502" s="30" t="n">
        <v>21.6</v>
      </c>
      <c r="AF502" s="30" t="s">
        <v>1005</v>
      </c>
      <c r="AG502" s="30" t="n">
        <v>0</v>
      </c>
      <c r="AH502" s="30" t="s">
        <v>1005</v>
      </c>
      <c r="AI502" s="30" t="n">
        <v>0</v>
      </c>
      <c r="AJ502" s="30" t="s">
        <v>1005</v>
      </c>
      <c r="AK502" s="30" t="n">
        <v>0</v>
      </c>
      <c r="AL502" s="30" t="s">
        <v>1005</v>
      </c>
      <c r="AM502" s="30" t="n">
        <v>0</v>
      </c>
      <c r="AN502" s="30" t="s">
        <v>1005</v>
      </c>
      <c r="AO502" s="30" t="n">
        <v>48.21</v>
      </c>
      <c r="AP502" s="30" t="s">
        <v>1005</v>
      </c>
      <c r="AQ502" s="30" t="n">
        <v>47.81</v>
      </c>
      <c r="AR502" s="30" t="s">
        <v>1005</v>
      </c>
      <c r="AS502" s="30" t="n">
        <v>69.36</v>
      </c>
      <c r="AT502" s="30" t="s">
        <v>1005</v>
      </c>
      <c r="AU502" s="30" t="n">
        <v>541.31</v>
      </c>
      <c r="AV502" s="30" t="n">
        <v>0.26426</v>
      </c>
      <c r="AW502" s="30"/>
      <c r="AX502" s="30" t="s">
        <v>1008</v>
      </c>
      <c r="AY502" s="30" t="n">
        <v>1</v>
      </c>
      <c r="AZ502" s="30"/>
    </row>
    <row collapsed="false" customFormat="true" customHeight="true" hidden="false" ht="33" outlineLevel="0" r="503" s="73">
      <c r="A503" s="30" t="n">
        <v>548</v>
      </c>
      <c r="B503" s="30" t="s">
        <v>751</v>
      </c>
      <c r="C503" s="30" t="s">
        <v>1009</v>
      </c>
      <c r="D503" s="30" t="s">
        <v>999</v>
      </c>
      <c r="E503" s="30" t="s">
        <v>1010</v>
      </c>
      <c r="F503" s="30" t="s">
        <v>1011</v>
      </c>
      <c r="G503" s="30" t="s">
        <v>1002</v>
      </c>
      <c r="H503" s="30" t="s">
        <v>1003</v>
      </c>
      <c r="I503" s="30" t="n">
        <v>1</v>
      </c>
      <c r="J503" s="30"/>
      <c r="K503" s="30" t="n">
        <v>57</v>
      </c>
      <c r="L503" s="30"/>
      <c r="M503" s="30" t="s">
        <v>1021</v>
      </c>
      <c r="N503" s="30" t="s">
        <v>54</v>
      </c>
      <c r="O503" s="30"/>
      <c r="P503" s="30"/>
      <c r="Q503" s="30"/>
      <c r="R503" s="30"/>
      <c r="S503" s="30"/>
      <c r="T503" s="30"/>
      <c r="U503" s="30" t="n">
        <v>309.62</v>
      </c>
      <c r="V503" s="30" t="n">
        <v>439.01</v>
      </c>
      <c r="W503" s="30" t="n">
        <v>89.91</v>
      </c>
      <c r="X503" s="30" t="s">
        <v>1005</v>
      </c>
      <c r="Y503" s="30" t="n">
        <v>63.44</v>
      </c>
      <c r="Z503" s="30" t="s">
        <v>1005</v>
      </c>
      <c r="AA503" s="30" t="n">
        <v>76.94</v>
      </c>
      <c r="AB503" s="30" t="s">
        <v>1005</v>
      </c>
      <c r="AC503" s="30" t="n">
        <v>23.21</v>
      </c>
      <c r="AD503" s="30" t="s">
        <v>1005</v>
      </c>
      <c r="AE503" s="30" t="n">
        <v>13.49</v>
      </c>
      <c r="AF503" s="30" t="s">
        <v>1005</v>
      </c>
      <c r="AG503" s="30" t="n">
        <v>0</v>
      </c>
      <c r="AH503" s="30" t="s">
        <v>1005</v>
      </c>
      <c r="AI503" s="30" t="n">
        <v>0</v>
      </c>
      <c r="AJ503" s="30" t="s">
        <v>1005</v>
      </c>
      <c r="AK503" s="30" t="n">
        <v>0</v>
      </c>
      <c r="AL503" s="30" t="s">
        <v>1005</v>
      </c>
      <c r="AM503" s="30" t="n">
        <v>0</v>
      </c>
      <c r="AN503" s="30" t="s">
        <v>1005</v>
      </c>
      <c r="AO503" s="30" t="n">
        <v>26.56</v>
      </c>
      <c r="AP503" s="30" t="s">
        <v>1005</v>
      </c>
      <c r="AQ503" s="30" t="n">
        <v>31.6</v>
      </c>
      <c r="AR503" s="30" t="s">
        <v>1005</v>
      </c>
      <c r="AS503" s="30" t="n">
        <v>44.98</v>
      </c>
      <c r="AT503" s="30" t="s">
        <v>1005</v>
      </c>
      <c r="AU503" s="30" t="n">
        <v>370.13</v>
      </c>
      <c r="AV503" s="30" t="n">
        <v>0.169722</v>
      </c>
      <c r="AW503" s="30"/>
      <c r="AX503" s="30" t="s">
        <v>1008</v>
      </c>
      <c r="AY503" s="30" t="n">
        <v>1</v>
      </c>
      <c r="AZ503" s="30"/>
    </row>
    <row collapsed="false" customFormat="true" customHeight="true" hidden="false" ht="33" outlineLevel="0" r="504" s="73">
      <c r="A504" s="30" t="n">
        <v>549</v>
      </c>
      <c r="B504" s="30" t="s">
        <v>753</v>
      </c>
      <c r="C504" s="30" t="s">
        <v>1009</v>
      </c>
      <c r="D504" s="30" t="s">
        <v>999</v>
      </c>
      <c r="E504" s="30" t="s">
        <v>1010</v>
      </c>
      <c r="F504" s="30" t="s">
        <v>1011</v>
      </c>
      <c r="G504" s="30" t="s">
        <v>1002</v>
      </c>
      <c r="H504" s="30" t="s">
        <v>1003</v>
      </c>
      <c r="I504" s="30" t="n">
        <v>1</v>
      </c>
      <c r="J504" s="30"/>
      <c r="K504" s="30" t="n">
        <v>57</v>
      </c>
      <c r="L504" s="30"/>
      <c r="M504" s="30" t="s">
        <v>1021</v>
      </c>
      <c r="N504" s="30" t="s">
        <v>53</v>
      </c>
      <c r="O504" s="30"/>
      <c r="P504" s="30"/>
      <c r="Q504" s="30"/>
      <c r="R504" s="30"/>
      <c r="S504" s="30"/>
      <c r="T504" s="30"/>
      <c r="U504" s="30"/>
      <c r="V504" s="30"/>
      <c r="W504" s="30"/>
      <c r="X504" s="30" t="s">
        <v>1005</v>
      </c>
      <c r="Y504" s="30"/>
      <c r="Z504" s="30" t="s">
        <v>1005</v>
      </c>
      <c r="AA504" s="30"/>
      <c r="AB504" s="30" t="s">
        <v>1005</v>
      </c>
      <c r="AC504" s="30"/>
      <c r="AD504" s="30" t="s">
        <v>1005</v>
      </c>
      <c r="AE504" s="30" t="n">
        <v>0</v>
      </c>
      <c r="AF504" s="30" t="s">
        <v>1005</v>
      </c>
      <c r="AG504" s="30" t="n">
        <v>0</v>
      </c>
      <c r="AH504" s="30" t="s">
        <v>1005</v>
      </c>
      <c r="AI504" s="30" t="n">
        <v>0</v>
      </c>
      <c r="AJ504" s="30" t="s">
        <v>1005</v>
      </c>
      <c r="AK504" s="30" t="n">
        <v>0</v>
      </c>
      <c r="AL504" s="30" t="s">
        <v>1005</v>
      </c>
      <c r="AM504" s="30" t="n">
        <v>0</v>
      </c>
      <c r="AN504" s="30" t="s">
        <v>1005</v>
      </c>
      <c r="AO504" s="30"/>
      <c r="AP504" s="30" t="s">
        <v>1005</v>
      </c>
      <c r="AQ504" s="30"/>
      <c r="AR504" s="30" t="s">
        <v>1005</v>
      </c>
      <c r="AS504" s="30"/>
      <c r="AT504" s="30" t="s">
        <v>1005</v>
      </c>
      <c r="AU504" s="30"/>
      <c r="AV504" s="30"/>
      <c r="AW504" s="30"/>
      <c r="AX504" s="30" t="s">
        <v>1008</v>
      </c>
      <c r="AY504" s="30" t="n">
        <v>1</v>
      </c>
      <c r="AZ504" s="30"/>
    </row>
    <row collapsed="false" customFormat="true" customHeight="true" hidden="false" ht="33" outlineLevel="0" r="505" s="73">
      <c r="A505" s="30" t="n">
        <v>550</v>
      </c>
      <c r="B505" s="30" t="s">
        <v>755</v>
      </c>
      <c r="C505" s="30" t="s">
        <v>1009</v>
      </c>
      <c r="D505" s="30" t="s">
        <v>999</v>
      </c>
      <c r="E505" s="30" t="s">
        <v>1010</v>
      </c>
      <c r="F505" s="30" t="s">
        <v>1011</v>
      </c>
      <c r="G505" s="30" t="s">
        <v>1002</v>
      </c>
      <c r="H505" s="30" t="s">
        <v>1003</v>
      </c>
      <c r="I505" s="30" t="n">
        <v>3</v>
      </c>
      <c r="J505" s="30"/>
      <c r="K505" s="30" t="n">
        <v>89</v>
      </c>
      <c r="L505" s="30"/>
      <c r="M505" s="30" t="s">
        <v>1015</v>
      </c>
      <c r="N505" s="30" t="s">
        <v>53</v>
      </c>
      <c r="O505" s="30"/>
      <c r="P505" s="30"/>
      <c r="Q505" s="30"/>
      <c r="R505" s="30"/>
      <c r="S505" s="30"/>
      <c r="T505" s="30"/>
      <c r="U505" s="30" t="n">
        <v>1456.68</v>
      </c>
      <c r="V505" s="30" t="n">
        <v>1456.68</v>
      </c>
      <c r="W505" s="30" t="n">
        <v>219.6</v>
      </c>
      <c r="X505" s="30" t="s">
        <v>1006</v>
      </c>
      <c r="Y505" s="30" t="n">
        <v>202.53</v>
      </c>
      <c r="Z505" s="30" t="s">
        <v>1006</v>
      </c>
      <c r="AA505" s="30" t="n">
        <v>203.01</v>
      </c>
      <c r="AB505" s="30" t="s">
        <v>1006</v>
      </c>
      <c r="AC505" s="30" t="n">
        <v>203.53</v>
      </c>
      <c r="AD505" s="30" t="s">
        <v>1006</v>
      </c>
      <c r="AE505" s="30" t="n">
        <v>105.24</v>
      </c>
      <c r="AF505" s="30" t="s">
        <v>1006</v>
      </c>
      <c r="AG505" s="30" t="n">
        <v>63.3</v>
      </c>
      <c r="AH505" s="30" t="s">
        <v>1006</v>
      </c>
      <c r="AI505" s="30" t="n">
        <v>24.81</v>
      </c>
      <c r="AJ505" s="30" t="s">
        <v>1006</v>
      </c>
      <c r="AK505" s="30" t="n">
        <v>43.21</v>
      </c>
      <c r="AL505" s="30" t="s">
        <v>1006</v>
      </c>
      <c r="AM505" s="30" t="n">
        <v>81.56</v>
      </c>
      <c r="AN505" s="30" t="s">
        <v>1006</v>
      </c>
      <c r="AO505" s="30" t="n">
        <v>191.99</v>
      </c>
      <c r="AP505" s="30" t="s">
        <v>1006</v>
      </c>
      <c r="AQ505" s="30" t="n">
        <v>168.55</v>
      </c>
      <c r="AR505" s="30" t="s">
        <v>1005</v>
      </c>
      <c r="AS505" s="30" t="n">
        <v>181.62</v>
      </c>
      <c r="AT505" s="30" t="s">
        <v>1005</v>
      </c>
      <c r="AU505" s="30" t="n">
        <v>1688.95</v>
      </c>
      <c r="AV505" s="30" t="n">
        <v>0.688</v>
      </c>
      <c r="AW505" s="30" t="s">
        <v>1016</v>
      </c>
      <c r="AX505" s="30" t="s">
        <v>1008</v>
      </c>
      <c r="AY505" s="30" t="n">
        <v>3</v>
      </c>
      <c r="AZ505" s="30"/>
    </row>
    <row collapsed="false" customFormat="true" customHeight="true" hidden="false" ht="33" outlineLevel="0" r="506" s="73">
      <c r="A506" s="30" t="n">
        <v>551</v>
      </c>
      <c r="B506" s="30" t="s">
        <v>757</v>
      </c>
      <c r="C506" s="30" t="s">
        <v>1009</v>
      </c>
      <c r="D506" s="30" t="s">
        <v>999</v>
      </c>
      <c r="E506" s="30" t="s">
        <v>1010</v>
      </c>
      <c r="F506" s="30" t="s">
        <v>1011</v>
      </c>
      <c r="G506" s="30" t="s">
        <v>1002</v>
      </c>
      <c r="H506" s="30" t="s">
        <v>1003</v>
      </c>
      <c r="I506" s="30" t="n">
        <v>1</v>
      </c>
      <c r="J506" s="30"/>
      <c r="K506" s="30" t="n">
        <v>67</v>
      </c>
      <c r="L506" s="30"/>
      <c r="M506" s="30" t="s">
        <v>1015</v>
      </c>
      <c r="N506" s="30" t="s">
        <v>53</v>
      </c>
      <c r="O506" s="30"/>
      <c r="P506" s="30"/>
      <c r="Q506" s="30"/>
      <c r="R506" s="30"/>
      <c r="S506" s="30"/>
      <c r="T506" s="30"/>
      <c r="U506" s="30" t="n">
        <v>948.72</v>
      </c>
      <c r="V506" s="30" t="n">
        <v>948.72</v>
      </c>
      <c r="W506" s="30" t="n">
        <v>117.94</v>
      </c>
      <c r="X506" s="30" t="s">
        <v>1006</v>
      </c>
      <c r="Y506" s="30" t="n">
        <v>102.86</v>
      </c>
      <c r="Z506" s="30" t="s">
        <v>1006</v>
      </c>
      <c r="AA506" s="30" t="n">
        <v>103.28</v>
      </c>
      <c r="AB506" s="30" t="s">
        <v>1006</v>
      </c>
      <c r="AC506" s="30" t="n">
        <v>102.73</v>
      </c>
      <c r="AD506" s="30" t="s">
        <v>1006</v>
      </c>
      <c r="AE506" s="30" t="n">
        <v>46.65</v>
      </c>
      <c r="AF506" s="30" t="s">
        <v>1006</v>
      </c>
      <c r="AG506" s="30" t="n">
        <v>22.42</v>
      </c>
      <c r="AH506" s="30" t="s">
        <v>1006</v>
      </c>
      <c r="AI506" s="30" t="n">
        <v>11.12</v>
      </c>
      <c r="AJ506" s="30" t="s">
        <v>1006</v>
      </c>
      <c r="AK506" s="30" t="n">
        <v>14.88</v>
      </c>
      <c r="AL506" s="30" t="s">
        <v>1006</v>
      </c>
      <c r="AM506" s="30" t="n">
        <v>35.96</v>
      </c>
      <c r="AN506" s="30" t="s">
        <v>1006</v>
      </c>
      <c r="AO506" s="30" t="n">
        <v>99.43</v>
      </c>
      <c r="AP506" s="30" t="s">
        <v>1006</v>
      </c>
      <c r="AQ506" s="30" t="n">
        <v>97.23</v>
      </c>
      <c r="AR506" s="30" t="s">
        <v>1006</v>
      </c>
      <c r="AS506" s="30" t="n">
        <v>80.58</v>
      </c>
      <c r="AT506" s="30" t="s">
        <v>1005</v>
      </c>
      <c r="AU506" s="30" t="n">
        <v>835.08</v>
      </c>
      <c r="AV506" s="30" t="n">
        <v>0.359</v>
      </c>
      <c r="AW506" s="30" t="s">
        <v>1016</v>
      </c>
      <c r="AX506" s="30" t="s">
        <v>1008</v>
      </c>
      <c r="AY506" s="30" t="n">
        <v>1</v>
      </c>
      <c r="AZ506" s="30"/>
    </row>
    <row collapsed="false" customFormat="true" customHeight="true" hidden="false" ht="33" outlineLevel="0" r="507" s="73">
      <c r="A507" s="30" t="n">
        <v>552</v>
      </c>
      <c r="B507" s="30" t="s">
        <v>759</v>
      </c>
      <c r="C507" s="30" t="s">
        <v>1009</v>
      </c>
      <c r="D507" s="30" t="s">
        <v>999</v>
      </c>
      <c r="E507" s="30" t="s">
        <v>1010</v>
      </c>
      <c r="F507" s="30" t="s">
        <v>1011</v>
      </c>
      <c r="G507" s="30" t="s">
        <v>1002</v>
      </c>
      <c r="H507" s="30" t="s">
        <v>1003</v>
      </c>
      <c r="I507" s="30" t="n">
        <v>2</v>
      </c>
      <c r="J507" s="30"/>
      <c r="K507" s="30" t="n">
        <v>89</v>
      </c>
      <c r="L507" s="30"/>
      <c r="M507" s="30" t="s">
        <v>1015</v>
      </c>
      <c r="N507" s="30" t="s">
        <v>53</v>
      </c>
      <c r="O507" s="30"/>
      <c r="P507" s="30"/>
      <c r="Q507" s="30"/>
      <c r="R507" s="30"/>
      <c r="S507" s="30"/>
      <c r="T507" s="30"/>
      <c r="U507" s="30" t="n">
        <v>1936.39</v>
      </c>
      <c r="V507" s="30" t="n">
        <v>1936.39</v>
      </c>
      <c r="W507" s="30" t="n">
        <v>299.25</v>
      </c>
      <c r="X507" s="30" t="s">
        <v>1006</v>
      </c>
      <c r="Y507" s="30" t="n">
        <v>263.58</v>
      </c>
      <c r="Z507" s="30" t="s">
        <v>1006</v>
      </c>
      <c r="AA507" s="30" t="n">
        <v>263.82</v>
      </c>
      <c r="AB507" s="30" t="s">
        <v>1006</v>
      </c>
      <c r="AC507" s="30" t="n">
        <v>262</v>
      </c>
      <c r="AD507" s="30" t="s">
        <v>1006</v>
      </c>
      <c r="AE507" s="30" t="n">
        <v>127.92</v>
      </c>
      <c r="AF507" s="30" t="s">
        <v>1006</v>
      </c>
      <c r="AG507" s="30" t="n">
        <v>62.6</v>
      </c>
      <c r="AH507" s="30" t="s">
        <v>1006</v>
      </c>
      <c r="AI507" s="30" t="n">
        <v>38.75</v>
      </c>
      <c r="AJ507" s="30" t="s">
        <v>1006</v>
      </c>
      <c r="AK507" s="30" t="n">
        <v>49.08</v>
      </c>
      <c r="AL507" s="30" t="s">
        <v>1006</v>
      </c>
      <c r="AM507" s="30" t="n">
        <v>99.98</v>
      </c>
      <c r="AN507" s="30" t="s">
        <v>1006</v>
      </c>
      <c r="AO507" s="30" t="n">
        <v>80.95</v>
      </c>
      <c r="AP507" s="30" t="s">
        <v>1006</v>
      </c>
      <c r="AQ507" s="30" t="n">
        <v>209.39</v>
      </c>
      <c r="AR507" s="30" t="s">
        <v>1005</v>
      </c>
      <c r="AS507" s="30" t="n">
        <v>191.45</v>
      </c>
      <c r="AT507" s="30" t="s">
        <v>1005</v>
      </c>
      <c r="AU507" s="30" t="n">
        <v>1948.77</v>
      </c>
      <c r="AV507" s="30" t="n">
        <v>0.683</v>
      </c>
      <c r="AW507" s="30" t="s">
        <v>1016</v>
      </c>
      <c r="AX507" s="30" t="s">
        <v>1008</v>
      </c>
      <c r="AY507" s="30" t="n">
        <v>2</v>
      </c>
      <c r="AZ507" s="30"/>
    </row>
    <row collapsed="false" customFormat="true" customHeight="true" hidden="false" ht="33" outlineLevel="0" r="508" s="73">
      <c r="A508" s="30" t="n">
        <v>553</v>
      </c>
      <c r="B508" s="30" t="s">
        <v>760</v>
      </c>
      <c r="C508" s="30" t="s">
        <v>1009</v>
      </c>
      <c r="D508" s="30" t="s">
        <v>999</v>
      </c>
      <c r="E508" s="30" t="s">
        <v>1010</v>
      </c>
      <c r="F508" s="30" t="s">
        <v>1011</v>
      </c>
      <c r="G508" s="30" t="s">
        <v>1002</v>
      </c>
      <c r="H508" s="30" t="s">
        <v>1003</v>
      </c>
      <c r="I508" s="30" t="n">
        <v>2</v>
      </c>
      <c r="J508" s="30"/>
      <c r="K508" s="30" t="n">
        <v>57</v>
      </c>
      <c r="L508" s="30"/>
      <c r="M508" s="30" t="s">
        <v>1015</v>
      </c>
      <c r="N508" s="30" t="s">
        <v>53</v>
      </c>
      <c r="O508" s="30"/>
      <c r="P508" s="30"/>
      <c r="Q508" s="30"/>
      <c r="R508" s="30"/>
      <c r="S508" s="30"/>
      <c r="T508" s="30"/>
      <c r="U508" s="30" t="n">
        <v>1563.91</v>
      </c>
      <c r="V508" s="30" t="n">
        <v>1563.91</v>
      </c>
      <c r="W508" s="30" t="n">
        <v>229.14</v>
      </c>
      <c r="X508" s="30" t="s">
        <v>1006</v>
      </c>
      <c r="Y508" s="30" t="n">
        <v>205.02</v>
      </c>
      <c r="Z508" s="30" t="s">
        <v>1006</v>
      </c>
      <c r="AA508" s="30" t="n">
        <v>207.2</v>
      </c>
      <c r="AB508" s="30" t="s">
        <v>1006</v>
      </c>
      <c r="AC508" s="30" t="n">
        <v>204.64</v>
      </c>
      <c r="AD508" s="30" t="s">
        <v>1006</v>
      </c>
      <c r="AE508" s="30" t="n">
        <v>104.37</v>
      </c>
      <c r="AF508" s="30" t="s">
        <v>1006</v>
      </c>
      <c r="AG508" s="30" t="n">
        <v>57.79</v>
      </c>
      <c r="AH508" s="30" t="s">
        <v>1006</v>
      </c>
      <c r="AI508" s="30" t="n">
        <v>23.7</v>
      </c>
      <c r="AJ508" s="30" t="s">
        <v>1006</v>
      </c>
      <c r="AK508" s="30" t="n">
        <v>43.04</v>
      </c>
      <c r="AL508" s="30" t="s">
        <v>1006</v>
      </c>
      <c r="AM508" s="30" t="n">
        <v>80.53</v>
      </c>
      <c r="AN508" s="30" t="s">
        <v>1006</v>
      </c>
      <c r="AO508" s="30" t="n">
        <v>117.67</v>
      </c>
      <c r="AP508" s="30" t="s">
        <v>1005</v>
      </c>
      <c r="AQ508" s="30" t="n">
        <v>175.55</v>
      </c>
      <c r="AR508" s="30" t="s">
        <v>1005</v>
      </c>
      <c r="AS508" s="30" t="n">
        <v>207.49</v>
      </c>
      <c r="AT508" s="30" t="s">
        <v>1005</v>
      </c>
      <c r="AU508" s="30" t="n">
        <v>1656.14</v>
      </c>
      <c r="AV508" s="30" t="n">
        <v>0.546</v>
      </c>
      <c r="AW508" s="30" t="s">
        <v>1016</v>
      </c>
      <c r="AX508" s="30" t="s">
        <v>1008</v>
      </c>
      <c r="AY508" s="30" t="n">
        <v>2</v>
      </c>
      <c r="AZ508" s="30"/>
    </row>
    <row collapsed="false" customFormat="true" customHeight="true" hidden="false" ht="33" outlineLevel="0" r="509" s="73">
      <c r="A509" s="30" t="n">
        <v>554</v>
      </c>
      <c r="B509" s="30" t="s">
        <v>762</v>
      </c>
      <c r="C509" s="30" t="s">
        <v>1009</v>
      </c>
      <c r="D509" s="30" t="s">
        <v>999</v>
      </c>
      <c r="E509" s="30" t="s">
        <v>1010</v>
      </c>
      <c r="F509" s="30" t="s">
        <v>1011</v>
      </c>
      <c r="G509" s="30" t="s">
        <v>1002</v>
      </c>
      <c r="H509" s="30" t="s">
        <v>1003</v>
      </c>
      <c r="I509" s="30" t="n">
        <v>1</v>
      </c>
      <c r="J509" s="30"/>
      <c r="K509" s="30" t="n">
        <v>57</v>
      </c>
      <c r="L509" s="30"/>
      <c r="M509" s="30" t="s">
        <v>1015</v>
      </c>
      <c r="N509" s="30" t="s">
        <v>53</v>
      </c>
      <c r="O509" s="30"/>
      <c r="P509" s="30"/>
      <c r="Q509" s="30"/>
      <c r="R509" s="30"/>
      <c r="S509" s="30"/>
      <c r="T509" s="30"/>
      <c r="U509" s="30" t="n">
        <v>915.29</v>
      </c>
      <c r="V509" s="30" t="n">
        <v>915.29</v>
      </c>
      <c r="W509" s="30" t="n">
        <v>119.43</v>
      </c>
      <c r="X509" s="30" t="s">
        <v>1006</v>
      </c>
      <c r="Y509" s="30" t="n">
        <v>102.49</v>
      </c>
      <c r="Z509" s="30" t="s">
        <v>1006</v>
      </c>
      <c r="AA509" s="30" t="n">
        <v>103.29</v>
      </c>
      <c r="AB509" s="30" t="s">
        <v>1006</v>
      </c>
      <c r="AC509" s="30" t="n">
        <v>105.7</v>
      </c>
      <c r="AD509" s="30" t="s">
        <v>1006</v>
      </c>
      <c r="AE509" s="30" t="n">
        <v>45.97</v>
      </c>
      <c r="AF509" s="30" t="s">
        <v>1006</v>
      </c>
      <c r="AG509" s="30" t="n">
        <v>22.09</v>
      </c>
      <c r="AH509" s="30" t="s">
        <v>1006</v>
      </c>
      <c r="AI509" s="30" t="n">
        <v>9.65</v>
      </c>
      <c r="AJ509" s="30" t="s">
        <v>1006</v>
      </c>
      <c r="AK509" s="30" t="n">
        <v>16.32</v>
      </c>
      <c r="AL509" s="30" t="s">
        <v>1006</v>
      </c>
      <c r="AM509" s="30" t="n">
        <v>36.07</v>
      </c>
      <c r="AN509" s="30" t="s">
        <v>1006</v>
      </c>
      <c r="AO509" s="30" t="n">
        <v>63.86</v>
      </c>
      <c r="AP509" s="30" t="s">
        <v>1005</v>
      </c>
      <c r="AQ509" s="30" t="n">
        <v>94.87</v>
      </c>
      <c r="AR509" s="30" t="s">
        <v>1005</v>
      </c>
      <c r="AS509" s="30" t="n">
        <v>113.26</v>
      </c>
      <c r="AT509" s="30" t="s">
        <v>1005</v>
      </c>
      <c r="AU509" s="30" t="n">
        <v>833</v>
      </c>
      <c r="AV509" s="30" t="n">
        <v>0.357</v>
      </c>
      <c r="AW509" s="30" t="s">
        <v>1016</v>
      </c>
      <c r="AX509" s="30" t="s">
        <v>1008</v>
      </c>
      <c r="AY509" s="30" t="n">
        <v>1</v>
      </c>
      <c r="AZ509" s="30"/>
    </row>
    <row collapsed="false" customFormat="true" customHeight="true" hidden="false" ht="33" outlineLevel="0" r="510" s="73">
      <c r="A510" s="30" t="n">
        <v>555</v>
      </c>
      <c r="B510" s="30" t="s">
        <v>763</v>
      </c>
      <c r="C510" s="30" t="s">
        <v>1009</v>
      </c>
      <c r="D510" s="30" t="s">
        <v>999</v>
      </c>
      <c r="E510" s="30" t="s">
        <v>1010</v>
      </c>
      <c r="F510" s="30" t="s">
        <v>1011</v>
      </c>
      <c r="G510" s="30" t="s">
        <v>1002</v>
      </c>
      <c r="H510" s="30" t="s">
        <v>1003</v>
      </c>
      <c r="I510" s="30" t="n">
        <v>1</v>
      </c>
      <c r="J510" s="30"/>
      <c r="K510" s="30" t="n">
        <v>57</v>
      </c>
      <c r="L510" s="30"/>
      <c r="M510" s="30" t="s">
        <v>1015</v>
      </c>
      <c r="N510" s="30" t="s">
        <v>53</v>
      </c>
      <c r="O510" s="30"/>
      <c r="P510" s="30"/>
      <c r="Q510" s="30"/>
      <c r="R510" s="30"/>
      <c r="S510" s="30"/>
      <c r="T510" s="30"/>
      <c r="U510" s="30" t="n">
        <v>728.32</v>
      </c>
      <c r="V510" s="30" t="n">
        <v>78.32</v>
      </c>
      <c r="W510" s="30" t="n">
        <v>85.06</v>
      </c>
      <c r="X510" s="30" t="s">
        <v>1006</v>
      </c>
      <c r="Y510" s="30" t="n">
        <v>75.46</v>
      </c>
      <c r="Z510" s="30" t="s">
        <v>1006</v>
      </c>
      <c r="AA510" s="30" t="n">
        <v>75.032</v>
      </c>
      <c r="AB510" s="30" t="s">
        <v>1006</v>
      </c>
      <c r="AC510" s="30" t="n">
        <v>75.19</v>
      </c>
      <c r="AD510" s="30" t="s">
        <v>1006</v>
      </c>
      <c r="AE510" s="30" t="n">
        <v>37.48</v>
      </c>
      <c r="AF510" s="30" t="s">
        <v>1006</v>
      </c>
      <c r="AG510" s="30" t="n">
        <v>18.25</v>
      </c>
      <c r="AH510" s="30" t="s">
        <v>1006</v>
      </c>
      <c r="AI510" s="30" t="n">
        <v>6.3</v>
      </c>
      <c r="AJ510" s="30" t="s">
        <v>1006</v>
      </c>
      <c r="AK510" s="30" t="n">
        <v>12.25</v>
      </c>
      <c r="AL510" s="30" t="s">
        <v>1006</v>
      </c>
      <c r="AM510" s="30" t="n">
        <v>26.82</v>
      </c>
      <c r="AN510" s="30" t="s">
        <v>1006</v>
      </c>
      <c r="AO510" s="30" t="n">
        <v>38.48</v>
      </c>
      <c r="AP510" s="30" t="s">
        <v>1005</v>
      </c>
      <c r="AQ510" s="30" t="n">
        <v>59.13</v>
      </c>
      <c r="AR510" s="30" t="s">
        <v>1005</v>
      </c>
      <c r="AS510" s="30" t="n">
        <v>71.22</v>
      </c>
      <c r="AT510" s="30" t="s">
        <v>1005</v>
      </c>
      <c r="AU510" s="30" t="n">
        <v>580.672</v>
      </c>
      <c r="AV510" s="30" t="n">
        <v>0.266</v>
      </c>
      <c r="AW510" s="30" t="s">
        <v>1016</v>
      </c>
      <c r="AX510" s="30" t="s">
        <v>1008</v>
      </c>
      <c r="AY510" s="30" t="n">
        <v>1</v>
      </c>
      <c r="AZ510" s="30"/>
    </row>
    <row collapsed="false" customFormat="true" customHeight="true" hidden="false" ht="33" outlineLevel="0" r="511" s="73">
      <c r="A511" s="30" t="n">
        <v>556</v>
      </c>
      <c r="B511" s="30" t="s">
        <v>765</v>
      </c>
      <c r="C511" s="30" t="s">
        <v>1009</v>
      </c>
      <c r="D511" s="30" t="s">
        <v>999</v>
      </c>
      <c r="E511" s="30" t="s">
        <v>1010</v>
      </c>
      <c r="F511" s="30" t="s">
        <v>1011</v>
      </c>
      <c r="G511" s="30" t="s">
        <v>1002</v>
      </c>
      <c r="H511" s="30" t="s">
        <v>1003</v>
      </c>
      <c r="I511" s="30" t="n">
        <v>1</v>
      </c>
      <c r="J511" s="30"/>
      <c r="K511" s="30" t="n">
        <v>57</v>
      </c>
      <c r="L511" s="30"/>
      <c r="M511" s="30" t="s">
        <v>1015</v>
      </c>
      <c r="N511" s="30" t="s">
        <v>53</v>
      </c>
      <c r="O511" s="30"/>
      <c r="P511" s="30"/>
      <c r="Q511" s="30"/>
      <c r="R511" s="30"/>
      <c r="S511" s="30"/>
      <c r="T511" s="30"/>
      <c r="U511" s="30" t="n">
        <v>951.95</v>
      </c>
      <c r="V511" s="30" t="n">
        <v>951.95</v>
      </c>
      <c r="W511" s="30" t="n">
        <v>106.97</v>
      </c>
      <c r="X511" s="30" t="s">
        <v>1006</v>
      </c>
      <c r="Y511" s="30" t="n">
        <v>96.43</v>
      </c>
      <c r="Z511" s="30" t="s">
        <v>1006</v>
      </c>
      <c r="AA511" s="30" t="n">
        <v>95.82</v>
      </c>
      <c r="AB511" s="30" t="s">
        <v>1006</v>
      </c>
      <c r="AC511" s="30" t="n">
        <v>96.97</v>
      </c>
      <c r="AD511" s="30" t="s">
        <v>1006</v>
      </c>
      <c r="AE511" s="30" t="n">
        <v>49.47</v>
      </c>
      <c r="AF511" s="30" t="s">
        <v>1006</v>
      </c>
      <c r="AG511" s="30" t="n">
        <v>25.54</v>
      </c>
      <c r="AH511" s="30" t="s">
        <v>1006</v>
      </c>
      <c r="AI511" s="30" t="n">
        <v>12.86</v>
      </c>
      <c r="AJ511" s="30" t="s">
        <v>1006</v>
      </c>
      <c r="AK511" s="30" t="n">
        <v>19.83</v>
      </c>
      <c r="AL511" s="30" t="s">
        <v>1006</v>
      </c>
      <c r="AM511" s="30" t="n">
        <v>37.58</v>
      </c>
      <c r="AN511" s="30" t="s">
        <v>1006</v>
      </c>
      <c r="AO511" s="30" t="n">
        <v>51.1</v>
      </c>
      <c r="AP511" s="30" t="s">
        <v>1005</v>
      </c>
      <c r="AQ511" s="30" t="n">
        <v>79.58</v>
      </c>
      <c r="AR511" s="30" t="s">
        <v>1005</v>
      </c>
      <c r="AS511" s="30" t="n">
        <v>89.1</v>
      </c>
      <c r="AT511" s="30" t="s">
        <v>1005</v>
      </c>
      <c r="AU511" s="30" t="n">
        <v>761.25</v>
      </c>
      <c r="AV511" s="30" t="n">
        <v>0.348</v>
      </c>
      <c r="AW511" s="30" t="s">
        <v>1016</v>
      </c>
      <c r="AX511" s="30" t="s">
        <v>1008</v>
      </c>
      <c r="AY511" s="30" t="n">
        <v>1</v>
      </c>
      <c r="AZ511" s="30"/>
    </row>
    <row collapsed="false" customFormat="true" customHeight="true" hidden="false" ht="33" outlineLevel="0" r="512" s="73">
      <c r="A512" s="30" t="n">
        <v>557</v>
      </c>
      <c r="B512" s="30" t="s">
        <v>767</v>
      </c>
      <c r="C512" s="30" t="s">
        <v>1009</v>
      </c>
      <c r="D512" s="30" t="s">
        <v>999</v>
      </c>
      <c r="E512" s="30" t="s">
        <v>1010</v>
      </c>
      <c r="F512" s="30" t="s">
        <v>1011</v>
      </c>
      <c r="G512" s="30" t="s">
        <v>1002</v>
      </c>
      <c r="H512" s="30" t="s">
        <v>1003</v>
      </c>
      <c r="I512" s="30" t="n">
        <v>2</v>
      </c>
      <c r="J512" s="30"/>
      <c r="K512" s="30" t="n">
        <v>57</v>
      </c>
      <c r="L512" s="30"/>
      <c r="M512" s="30" t="s">
        <v>1015</v>
      </c>
      <c r="N512" s="30" t="s">
        <v>53</v>
      </c>
      <c r="O512" s="30"/>
      <c r="P512" s="30"/>
      <c r="Q512" s="30"/>
      <c r="R512" s="30"/>
      <c r="S512" s="30"/>
      <c r="T512" s="30"/>
      <c r="U512" s="30" t="n">
        <v>1613.17</v>
      </c>
      <c r="V512" s="30" t="n">
        <v>1613.17</v>
      </c>
      <c r="W512" s="30" t="n">
        <v>209.49</v>
      </c>
      <c r="X512" s="30" t="s">
        <v>1006</v>
      </c>
      <c r="Y512" s="30" t="n">
        <v>184.52</v>
      </c>
      <c r="Z512" s="30" t="s">
        <v>1006</v>
      </c>
      <c r="AA512" s="30" t="n">
        <v>185.56</v>
      </c>
      <c r="AB512" s="30" t="s">
        <v>1006</v>
      </c>
      <c r="AC512" s="30" t="n">
        <v>185.36</v>
      </c>
      <c r="AD512" s="30" t="s">
        <v>1006</v>
      </c>
      <c r="AE512" s="30" t="n">
        <v>91.4</v>
      </c>
      <c r="AF512" s="30" t="s">
        <v>1006</v>
      </c>
      <c r="AG512" s="30" t="n">
        <v>49.01</v>
      </c>
      <c r="AH512" s="30" t="s">
        <v>1006</v>
      </c>
      <c r="AI512" s="30" t="n">
        <v>21.93</v>
      </c>
      <c r="AJ512" s="30" t="s">
        <v>1006</v>
      </c>
      <c r="AK512" s="30" t="n">
        <v>37.67</v>
      </c>
      <c r="AL512" s="30" t="s">
        <v>1006</v>
      </c>
      <c r="AM512" s="30" t="n">
        <v>75.5</v>
      </c>
      <c r="AN512" s="30" t="s">
        <v>1006</v>
      </c>
      <c r="AO512" s="30" t="n">
        <v>179.24</v>
      </c>
      <c r="AP512" s="30" t="s">
        <v>1006</v>
      </c>
      <c r="AQ512" s="30" t="n">
        <v>123.49</v>
      </c>
      <c r="AR512" s="30" t="s">
        <v>1005</v>
      </c>
      <c r="AS512" s="30" t="n">
        <v>217.6</v>
      </c>
      <c r="AT512" s="30" t="s">
        <v>1005</v>
      </c>
      <c r="AU512" s="30" t="n">
        <v>1560.77</v>
      </c>
      <c r="AV512" s="30" t="n">
        <v>0.636</v>
      </c>
      <c r="AW512" s="30" t="s">
        <v>1016</v>
      </c>
      <c r="AX512" s="30" t="s">
        <v>1008</v>
      </c>
      <c r="AY512" s="30" t="n">
        <v>2</v>
      </c>
      <c r="AZ512" s="30"/>
    </row>
    <row collapsed="false" customFormat="true" customHeight="true" hidden="false" ht="33" outlineLevel="0" r="513" s="73">
      <c r="A513" s="30" t="n">
        <v>558</v>
      </c>
      <c r="B513" s="30" t="s">
        <v>770</v>
      </c>
      <c r="C513" s="30" t="s">
        <v>1009</v>
      </c>
      <c r="D513" s="30" t="s">
        <v>999</v>
      </c>
      <c r="E513" s="30" t="s">
        <v>1010</v>
      </c>
      <c r="F513" s="30" t="s">
        <v>1011</v>
      </c>
      <c r="G513" s="30" t="s">
        <v>1002</v>
      </c>
      <c r="H513" s="30" t="s">
        <v>1003</v>
      </c>
      <c r="I513" s="30" t="n">
        <v>2</v>
      </c>
      <c r="J513" s="30"/>
      <c r="K513" s="30" t="n">
        <v>57</v>
      </c>
      <c r="L513" s="30"/>
      <c r="M513" s="30" t="s">
        <v>1015</v>
      </c>
      <c r="N513" s="30" t="s">
        <v>53</v>
      </c>
      <c r="O513" s="30"/>
      <c r="P513" s="30"/>
      <c r="Q513" s="30"/>
      <c r="R513" s="30"/>
      <c r="S513" s="30"/>
      <c r="T513" s="30"/>
      <c r="U513" s="30" t="n">
        <v>1708</v>
      </c>
      <c r="V513" s="30" t="n">
        <v>1708</v>
      </c>
      <c r="W513" s="30" t="n">
        <v>229.29</v>
      </c>
      <c r="X513" s="30" t="s">
        <v>1006</v>
      </c>
      <c r="Y513" s="30" t="n">
        <v>210.71</v>
      </c>
      <c r="Z513" s="30" t="s">
        <v>1006</v>
      </c>
      <c r="AA513" s="30" t="n">
        <v>207.03</v>
      </c>
      <c r="AB513" s="30" t="s">
        <v>1006</v>
      </c>
      <c r="AC513" s="30" t="n">
        <v>205.03</v>
      </c>
      <c r="AD513" s="30" t="s">
        <v>1006</v>
      </c>
      <c r="AE513" s="30" t="n">
        <v>101.91</v>
      </c>
      <c r="AF513" s="30" t="s">
        <v>1006</v>
      </c>
      <c r="AG513" s="30" t="n">
        <v>50.38</v>
      </c>
      <c r="AH513" s="30" t="s">
        <v>1006</v>
      </c>
      <c r="AI513" s="30" t="n">
        <v>28.06</v>
      </c>
      <c r="AJ513" s="30" t="s">
        <v>1006</v>
      </c>
      <c r="AK513" s="30" t="n">
        <v>39.83</v>
      </c>
      <c r="AL513" s="30" t="s">
        <v>1006</v>
      </c>
      <c r="AM513" s="30" t="n">
        <v>76.82</v>
      </c>
      <c r="AN513" s="30" t="s">
        <v>1006</v>
      </c>
      <c r="AO513" s="30" t="n">
        <v>152.17</v>
      </c>
      <c r="AP513" s="30" t="s">
        <v>1005</v>
      </c>
      <c r="AQ513" s="30" t="n">
        <v>142.38</v>
      </c>
      <c r="AR513" s="30" t="s">
        <v>1005</v>
      </c>
      <c r="AS513" s="30" t="n">
        <v>205.9</v>
      </c>
      <c r="AT513" s="30" t="s">
        <v>1005</v>
      </c>
      <c r="AU513" s="30" t="n">
        <v>1649.51</v>
      </c>
      <c r="AV513" s="30" t="n">
        <v>0.639</v>
      </c>
      <c r="AW513" s="30" t="s">
        <v>1016</v>
      </c>
      <c r="AX513" s="30" t="s">
        <v>1008</v>
      </c>
      <c r="AY513" s="30" t="n">
        <v>2</v>
      </c>
      <c r="AZ513" s="30"/>
    </row>
    <row collapsed="false" customFormat="true" customHeight="true" hidden="false" ht="33" outlineLevel="0" r="514" s="73">
      <c r="A514" s="30" t="n">
        <v>559</v>
      </c>
      <c r="B514" s="30" t="s">
        <v>772</v>
      </c>
      <c r="C514" s="30" t="s">
        <v>1009</v>
      </c>
      <c r="D514" s="30" t="s">
        <v>999</v>
      </c>
      <c r="E514" s="30" t="s">
        <v>1010</v>
      </c>
      <c r="F514" s="30" t="s">
        <v>1011</v>
      </c>
      <c r="G514" s="30" t="s">
        <v>1002</v>
      </c>
      <c r="H514" s="30" t="s">
        <v>1003</v>
      </c>
      <c r="I514" s="30" t="n">
        <v>1</v>
      </c>
      <c r="J514" s="30"/>
      <c r="K514" s="30" t="n">
        <v>57</v>
      </c>
      <c r="L514" s="30"/>
      <c r="M514" s="30" t="s">
        <v>1015</v>
      </c>
      <c r="N514" s="30" t="s">
        <v>53</v>
      </c>
      <c r="O514" s="30"/>
      <c r="P514" s="30"/>
      <c r="Q514" s="30"/>
      <c r="R514" s="30"/>
      <c r="S514" s="30"/>
      <c r="T514" s="30"/>
      <c r="U514" s="30" t="n">
        <v>1362.44</v>
      </c>
      <c r="V514" s="30" t="n">
        <v>1362.44</v>
      </c>
      <c r="W514" s="30" t="n">
        <v>245.58</v>
      </c>
      <c r="X514" s="30" t="s">
        <v>1006</v>
      </c>
      <c r="Y514" s="30" t="n">
        <v>217.61</v>
      </c>
      <c r="Z514" s="30" t="s">
        <v>1006</v>
      </c>
      <c r="AA514" s="30" t="n">
        <v>220.27</v>
      </c>
      <c r="AB514" s="30" t="s">
        <v>1006</v>
      </c>
      <c r="AC514" s="30" t="n">
        <v>214.49</v>
      </c>
      <c r="AD514" s="30" t="s">
        <v>1006</v>
      </c>
      <c r="AE514" s="30" t="n">
        <v>108.05</v>
      </c>
      <c r="AF514" s="30" t="s">
        <v>1006</v>
      </c>
      <c r="AG514" s="30" t="n">
        <v>54.6</v>
      </c>
      <c r="AH514" s="30" t="s">
        <v>1006</v>
      </c>
      <c r="AI514" s="30" t="n">
        <v>30.13</v>
      </c>
      <c r="AJ514" s="30" t="s">
        <v>1006</v>
      </c>
      <c r="AK514" s="30" t="n">
        <v>40.5</v>
      </c>
      <c r="AL514" s="30" t="s">
        <v>1006</v>
      </c>
      <c r="AM514" s="30" t="n">
        <v>82.55</v>
      </c>
      <c r="AN514" s="30" t="s">
        <v>1006</v>
      </c>
      <c r="AO514" s="30" t="n">
        <v>197.75</v>
      </c>
      <c r="AP514" s="30" t="s">
        <v>1006</v>
      </c>
      <c r="AQ514" s="30" t="n">
        <v>195.92</v>
      </c>
      <c r="AR514" s="30" t="s">
        <v>1006</v>
      </c>
      <c r="AS514" s="30" t="n">
        <v>123.45</v>
      </c>
      <c r="AT514" s="30" t="s">
        <v>1005</v>
      </c>
      <c r="AU514" s="30" t="n">
        <v>1730.9</v>
      </c>
      <c r="AV514" s="30" t="n">
        <v>0.45</v>
      </c>
      <c r="AW514" s="30" t="s">
        <v>1016</v>
      </c>
      <c r="AX514" s="30" t="s">
        <v>1008</v>
      </c>
      <c r="AY514" s="30" t="n">
        <v>1</v>
      </c>
      <c r="AZ514" s="30"/>
    </row>
    <row collapsed="false" customFormat="true" customHeight="true" hidden="false" ht="33" outlineLevel="0" r="515" s="73">
      <c r="A515" s="30" t="n">
        <v>560</v>
      </c>
      <c r="B515" s="30" t="s">
        <v>774</v>
      </c>
      <c r="C515" s="30" t="s">
        <v>1009</v>
      </c>
      <c r="D515" s="30" t="s">
        <v>999</v>
      </c>
      <c r="E515" s="30" t="s">
        <v>1010</v>
      </c>
      <c r="F515" s="30" t="s">
        <v>1011</v>
      </c>
      <c r="G515" s="30" t="s">
        <v>1002</v>
      </c>
      <c r="H515" s="30" t="s">
        <v>1003</v>
      </c>
      <c r="I515" s="30" t="n">
        <v>3</v>
      </c>
      <c r="J515" s="30"/>
      <c r="K515" s="30" t="n">
        <v>57</v>
      </c>
      <c r="L515" s="30"/>
      <c r="M515" s="30" t="s">
        <v>1015</v>
      </c>
      <c r="N515" s="30" t="s">
        <v>53</v>
      </c>
      <c r="O515" s="30"/>
      <c r="P515" s="30"/>
      <c r="Q515" s="30"/>
      <c r="R515" s="30"/>
      <c r="S515" s="30"/>
      <c r="T515" s="30"/>
      <c r="U515" s="30" t="n">
        <v>1939.78</v>
      </c>
      <c r="V515" s="30" t="n">
        <v>1939.78</v>
      </c>
      <c r="W515" s="30" t="n">
        <v>426.19</v>
      </c>
      <c r="X515" s="30" t="s">
        <v>1005</v>
      </c>
      <c r="Y515" s="30" t="n">
        <v>300.72</v>
      </c>
      <c r="Z515" s="30" t="s">
        <v>1005</v>
      </c>
      <c r="AA515" s="30" t="n">
        <v>365.67</v>
      </c>
      <c r="AB515" s="30" t="s">
        <v>1005</v>
      </c>
      <c r="AC515" s="30" t="n">
        <v>199.83</v>
      </c>
      <c r="AD515" s="30" t="s">
        <v>1005</v>
      </c>
      <c r="AE515" s="30" t="n">
        <v>154.12</v>
      </c>
      <c r="AF515" s="30" t="s">
        <v>1005</v>
      </c>
      <c r="AG515" s="30" t="n">
        <v>88</v>
      </c>
      <c r="AH515" s="30" t="s">
        <v>1005</v>
      </c>
      <c r="AI515" s="30" t="n">
        <v>30.52</v>
      </c>
      <c r="AJ515" s="30" t="s">
        <v>1005</v>
      </c>
      <c r="AK515" s="30" t="n">
        <v>68.49</v>
      </c>
      <c r="AL515" s="30" t="s">
        <v>1005</v>
      </c>
      <c r="AM515" s="30" t="n">
        <v>61.35</v>
      </c>
      <c r="AN515" s="30" t="s">
        <v>1005</v>
      </c>
      <c r="AO515" s="30" t="n">
        <v>204.42</v>
      </c>
      <c r="AP515" s="30" t="s">
        <v>1005</v>
      </c>
      <c r="AQ515" s="30" t="n">
        <v>256.14</v>
      </c>
      <c r="AR515" s="30" t="s">
        <v>1005</v>
      </c>
      <c r="AS515" s="30" t="n">
        <v>280.95</v>
      </c>
      <c r="AT515" s="30" t="s">
        <v>1005</v>
      </c>
      <c r="AU515" s="30" t="n">
        <v>2436.4</v>
      </c>
      <c r="AV515" s="30" t="n">
        <v>0.789</v>
      </c>
      <c r="AW515" s="30" t="s">
        <v>1016</v>
      </c>
      <c r="AX515" s="30" t="s">
        <v>1008</v>
      </c>
      <c r="AY515" s="30" t="n">
        <v>3</v>
      </c>
      <c r="AZ515" s="30"/>
    </row>
    <row collapsed="false" customFormat="true" customHeight="true" hidden="false" ht="33" outlineLevel="0" r="516" s="73">
      <c r="A516" s="30" t="n">
        <v>561</v>
      </c>
      <c r="B516" s="30" t="s">
        <v>776</v>
      </c>
      <c r="C516" s="30" t="s">
        <v>1009</v>
      </c>
      <c r="D516" s="30" t="s">
        <v>999</v>
      </c>
      <c r="E516" s="30" t="s">
        <v>1010</v>
      </c>
      <c r="F516" s="30" t="s">
        <v>1011</v>
      </c>
      <c r="G516" s="30" t="s">
        <v>1002</v>
      </c>
      <c r="H516" s="30" t="s">
        <v>1003</v>
      </c>
      <c r="I516" s="30" t="n">
        <v>1</v>
      </c>
      <c r="J516" s="30"/>
      <c r="K516" s="30" t="n">
        <v>65</v>
      </c>
      <c r="L516" s="30"/>
      <c r="M516" s="30" t="s">
        <v>1015</v>
      </c>
      <c r="N516" s="30" t="s">
        <v>53</v>
      </c>
      <c r="O516" s="30"/>
      <c r="P516" s="30"/>
      <c r="Q516" s="30"/>
      <c r="R516" s="30"/>
      <c r="S516" s="30"/>
      <c r="T516" s="30"/>
      <c r="U516" s="30" t="n">
        <v>1126.78</v>
      </c>
      <c r="V516" s="30" t="n">
        <v>1126.78</v>
      </c>
      <c r="W516" s="30" t="n">
        <v>118.8</v>
      </c>
      <c r="X516" s="30" t="s">
        <v>1006</v>
      </c>
      <c r="Y516" s="30" t="n">
        <v>109.22</v>
      </c>
      <c r="Z516" s="30" t="s">
        <v>1006</v>
      </c>
      <c r="AA516" s="30" t="n">
        <v>109.54</v>
      </c>
      <c r="AB516" s="30" t="s">
        <v>1006</v>
      </c>
      <c r="AC516" s="30" t="n">
        <v>109.54</v>
      </c>
      <c r="AD516" s="30" t="s">
        <v>1006</v>
      </c>
      <c r="AE516" s="30" t="n">
        <v>55.43</v>
      </c>
      <c r="AF516" s="30" t="s">
        <v>1006</v>
      </c>
      <c r="AG516" s="30" t="n">
        <v>29.28</v>
      </c>
      <c r="AH516" s="30" t="s">
        <v>1006</v>
      </c>
      <c r="AI516" s="30" t="n">
        <v>9.74</v>
      </c>
      <c r="AJ516" s="30" t="s">
        <v>1006</v>
      </c>
      <c r="AK516" s="30" t="n">
        <v>24.6</v>
      </c>
      <c r="AL516" s="30" t="s">
        <v>1006</v>
      </c>
      <c r="AM516" s="30" t="n">
        <v>42.55</v>
      </c>
      <c r="AN516" s="30" t="s">
        <v>1006</v>
      </c>
      <c r="AO516" s="30" t="n">
        <v>101.62</v>
      </c>
      <c r="AP516" s="30" t="s">
        <v>1006</v>
      </c>
      <c r="AQ516" s="30" t="n">
        <v>99.54</v>
      </c>
      <c r="AR516" s="30" t="s">
        <v>1006</v>
      </c>
      <c r="AS516" s="30" t="n">
        <v>71.43</v>
      </c>
      <c r="AT516" s="30" t="s">
        <v>1005</v>
      </c>
      <c r="AU516" s="30" t="n">
        <v>881.29</v>
      </c>
      <c r="AV516" s="30" t="n">
        <v>0.351</v>
      </c>
      <c r="AW516" s="30" t="s">
        <v>1016</v>
      </c>
      <c r="AX516" s="30" t="s">
        <v>1008</v>
      </c>
      <c r="AY516" s="30" t="n">
        <v>1</v>
      </c>
      <c r="AZ516" s="30"/>
    </row>
    <row collapsed="false" customFormat="true" customHeight="true" hidden="false" ht="33" outlineLevel="0" r="517" s="73">
      <c r="A517" s="30" t="n">
        <v>562</v>
      </c>
      <c r="B517" s="30" t="s">
        <v>777</v>
      </c>
      <c r="C517" s="30" t="s">
        <v>1009</v>
      </c>
      <c r="D517" s="30" t="s">
        <v>999</v>
      </c>
      <c r="E517" s="30" t="s">
        <v>1010</v>
      </c>
      <c r="F517" s="30" t="s">
        <v>1011</v>
      </c>
      <c r="G517" s="30" t="s">
        <v>1002</v>
      </c>
      <c r="H517" s="30" t="s">
        <v>1003</v>
      </c>
      <c r="I517" s="30" t="n">
        <v>1</v>
      </c>
      <c r="J517" s="30"/>
      <c r="K517" s="30" t="n">
        <v>65</v>
      </c>
      <c r="L517" s="30"/>
      <c r="M517" s="30" t="s">
        <v>1015</v>
      </c>
      <c r="N517" s="30" t="s">
        <v>53</v>
      </c>
      <c r="O517" s="30"/>
      <c r="P517" s="30"/>
      <c r="Q517" s="30"/>
      <c r="R517" s="30"/>
      <c r="S517" s="30"/>
      <c r="T517" s="30"/>
      <c r="U517" s="30" t="n">
        <v>766.69</v>
      </c>
      <c r="V517" s="30" t="n">
        <v>766.69</v>
      </c>
      <c r="W517" s="30" t="n">
        <v>105.5</v>
      </c>
      <c r="X517" s="30" t="s">
        <v>1006</v>
      </c>
      <c r="Y517" s="30" t="n">
        <v>95.78</v>
      </c>
      <c r="Z517" s="30" t="s">
        <v>1006</v>
      </c>
      <c r="AA517" s="30" t="n">
        <v>93.67</v>
      </c>
      <c r="AB517" s="30" t="s">
        <v>1006</v>
      </c>
      <c r="AC517" s="30" t="n">
        <v>93.97</v>
      </c>
      <c r="AD517" s="30" t="s">
        <v>1006</v>
      </c>
      <c r="AE517" s="30" t="n">
        <v>47.75</v>
      </c>
      <c r="AF517" s="30" t="s">
        <v>1006</v>
      </c>
      <c r="AG517" s="30" t="n">
        <v>25.69</v>
      </c>
      <c r="AH517" s="30" t="s">
        <v>1006</v>
      </c>
      <c r="AI517" s="30" t="n">
        <v>11.78</v>
      </c>
      <c r="AJ517" s="30" t="s">
        <v>1006</v>
      </c>
      <c r="AK517" s="30" t="n">
        <v>18.68</v>
      </c>
      <c r="AL517" s="30" t="s">
        <v>1006</v>
      </c>
      <c r="AM517" s="30" t="n">
        <v>38.69</v>
      </c>
      <c r="AN517" s="30" t="s">
        <v>1006</v>
      </c>
      <c r="AO517" s="30" t="n">
        <v>48.86</v>
      </c>
      <c r="AP517" s="30" t="s">
        <v>1005</v>
      </c>
      <c r="AQ517" s="30" t="n">
        <v>73.42</v>
      </c>
      <c r="AR517" s="30" t="s">
        <v>1005</v>
      </c>
      <c r="AS517" s="30" t="n">
        <v>86.02</v>
      </c>
      <c r="AT517" s="30" t="s">
        <v>1005</v>
      </c>
      <c r="AU517" s="30" t="n">
        <v>739.81</v>
      </c>
      <c r="AV517" s="30" t="n">
        <v>0.262</v>
      </c>
      <c r="AW517" s="30" t="s">
        <v>1016</v>
      </c>
      <c r="AX517" s="30" t="s">
        <v>1008</v>
      </c>
      <c r="AY517" s="30" t="n">
        <v>1</v>
      </c>
      <c r="AZ517" s="30"/>
    </row>
    <row collapsed="false" customFormat="true" customHeight="true" hidden="false" ht="33" outlineLevel="0" r="518" s="73">
      <c r="A518" s="30" t="n">
        <v>563</v>
      </c>
      <c r="B518" s="30" t="s">
        <v>778</v>
      </c>
      <c r="C518" s="30" t="s">
        <v>1009</v>
      </c>
      <c r="D518" s="30" t="s">
        <v>999</v>
      </c>
      <c r="E518" s="30" t="s">
        <v>1010</v>
      </c>
      <c r="F518" s="30" t="s">
        <v>1011</v>
      </c>
      <c r="G518" s="30" t="s">
        <v>1002</v>
      </c>
      <c r="H518" s="30" t="s">
        <v>1003</v>
      </c>
      <c r="I518" s="30" t="n">
        <v>1</v>
      </c>
      <c r="J518" s="30"/>
      <c r="K518" s="30" t="n">
        <v>65</v>
      </c>
      <c r="L518" s="30"/>
      <c r="M518" s="30" t="s">
        <v>1015</v>
      </c>
      <c r="N518" s="30" t="s">
        <v>53</v>
      </c>
      <c r="O518" s="30"/>
      <c r="P518" s="30"/>
      <c r="Q518" s="30"/>
      <c r="R518" s="30"/>
      <c r="S518" s="30"/>
      <c r="T518" s="30"/>
      <c r="U518" s="30" t="n">
        <v>925.73</v>
      </c>
      <c r="V518" s="30" t="n">
        <v>925.73</v>
      </c>
      <c r="W518" s="30" t="n">
        <v>122.15</v>
      </c>
      <c r="X518" s="30" t="s">
        <v>1006</v>
      </c>
      <c r="Y518" s="30" t="n">
        <v>105.76</v>
      </c>
      <c r="Z518" s="30" t="s">
        <v>1006</v>
      </c>
      <c r="AA518" s="30" t="n">
        <v>106.6</v>
      </c>
      <c r="AB518" s="30" t="s">
        <v>1006</v>
      </c>
      <c r="AC518" s="30" t="n">
        <v>105.63</v>
      </c>
      <c r="AD518" s="30" t="s">
        <v>1006</v>
      </c>
      <c r="AE518" s="30" t="n">
        <v>51.82</v>
      </c>
      <c r="AF518" s="30" t="s">
        <v>1006</v>
      </c>
      <c r="AG518" s="30" t="n">
        <v>25.17</v>
      </c>
      <c r="AH518" s="30" t="s">
        <v>1006</v>
      </c>
      <c r="AI518" s="30" t="n">
        <v>13.28</v>
      </c>
      <c r="AJ518" s="30" t="s">
        <v>1006</v>
      </c>
      <c r="AK518" s="30" t="n">
        <v>20.25</v>
      </c>
      <c r="AL518" s="30" t="s">
        <v>1006</v>
      </c>
      <c r="AM518" s="30" t="n">
        <v>40.97</v>
      </c>
      <c r="AN518" s="30" t="s">
        <v>1006</v>
      </c>
      <c r="AO518" s="30" t="n">
        <v>98.84</v>
      </c>
      <c r="AP518" s="30" t="s">
        <v>1006</v>
      </c>
      <c r="AQ518" s="30" t="n">
        <v>104.02</v>
      </c>
      <c r="AR518" s="30" t="s">
        <v>1006</v>
      </c>
      <c r="AS518" s="30" t="n">
        <v>74.79</v>
      </c>
      <c r="AT518" s="30" t="s">
        <v>1005</v>
      </c>
      <c r="AU518" s="30" t="n">
        <v>869.28</v>
      </c>
      <c r="AV518" s="30" t="n">
        <v>0.351</v>
      </c>
      <c r="AW518" s="30" t="s">
        <v>1016</v>
      </c>
      <c r="AX518" s="30" t="s">
        <v>1008</v>
      </c>
      <c r="AY518" s="30" t="n">
        <v>1</v>
      </c>
      <c r="AZ518" s="30"/>
    </row>
    <row collapsed="false" customFormat="true" customHeight="true" hidden="false" ht="33" outlineLevel="0" r="519" s="73">
      <c r="A519" s="30" t="n">
        <v>564</v>
      </c>
      <c r="B519" s="30" t="s">
        <v>779</v>
      </c>
      <c r="C519" s="30" t="s">
        <v>1009</v>
      </c>
      <c r="D519" s="30" t="s">
        <v>999</v>
      </c>
      <c r="E519" s="30" t="s">
        <v>1010</v>
      </c>
      <c r="F519" s="30" t="s">
        <v>1011</v>
      </c>
      <c r="G519" s="30" t="s">
        <v>1002</v>
      </c>
      <c r="H519" s="30" t="s">
        <v>1003</v>
      </c>
      <c r="I519" s="30" t="n">
        <v>2</v>
      </c>
      <c r="J519" s="30"/>
      <c r="K519" s="30" t="n">
        <v>65</v>
      </c>
      <c r="L519" s="30"/>
      <c r="M519" s="30" t="s">
        <v>1015</v>
      </c>
      <c r="N519" s="30" t="s">
        <v>53</v>
      </c>
      <c r="O519" s="30"/>
      <c r="P519" s="30"/>
      <c r="Q519" s="30"/>
      <c r="R519" s="30"/>
      <c r="S519" s="30"/>
      <c r="T519" s="30"/>
      <c r="U519" s="30" t="n">
        <v>782.98</v>
      </c>
      <c r="V519" s="30" t="n">
        <v>782.98</v>
      </c>
      <c r="W519" s="30" t="n">
        <v>103.67</v>
      </c>
      <c r="X519" s="30" t="s">
        <v>1006</v>
      </c>
      <c r="Y519" s="30" t="n">
        <v>96.61</v>
      </c>
      <c r="Z519" s="30" t="s">
        <v>1006</v>
      </c>
      <c r="AA519" s="30" t="n">
        <v>96.29</v>
      </c>
      <c r="AB519" s="30" t="s">
        <v>1006</v>
      </c>
      <c r="AC519" s="30" t="n">
        <v>94.01</v>
      </c>
      <c r="AD519" s="30" t="s">
        <v>1006</v>
      </c>
      <c r="AE519" s="30" t="n">
        <v>22.41</v>
      </c>
      <c r="AF519" s="30" t="s">
        <v>1006</v>
      </c>
      <c r="AG519" s="30" t="n">
        <v>20.01</v>
      </c>
      <c r="AH519" s="30" t="s">
        <v>1006</v>
      </c>
      <c r="AI519" s="30" t="n">
        <v>28.7</v>
      </c>
      <c r="AJ519" s="30" t="s">
        <v>1006</v>
      </c>
      <c r="AK519" s="30" t="n">
        <v>15.93</v>
      </c>
      <c r="AL519" s="30" t="s">
        <v>1006</v>
      </c>
      <c r="AM519" s="30" t="n">
        <v>34.45</v>
      </c>
      <c r="AN519" s="30" t="s">
        <v>1006</v>
      </c>
      <c r="AO519" s="30" t="n">
        <v>92.08</v>
      </c>
      <c r="AP519" s="30" t="s">
        <v>1006</v>
      </c>
      <c r="AQ519" s="30" t="n">
        <v>90.02</v>
      </c>
      <c r="AR519" s="30" t="s">
        <v>1006</v>
      </c>
      <c r="AS519" s="30" t="n">
        <v>71.71</v>
      </c>
      <c r="AT519" s="30" t="s">
        <v>1005</v>
      </c>
      <c r="AU519" s="30" t="n">
        <v>765.89</v>
      </c>
      <c r="AV519" s="30" t="n">
        <v>0.322</v>
      </c>
      <c r="AW519" s="30" t="s">
        <v>1016</v>
      </c>
      <c r="AX519" s="30" t="s">
        <v>1008</v>
      </c>
      <c r="AY519" s="30" t="n">
        <v>2</v>
      </c>
      <c r="AZ519" s="30"/>
    </row>
    <row collapsed="false" customFormat="true" customHeight="true" hidden="false" ht="33" outlineLevel="0" r="520" s="73">
      <c r="A520" s="30" t="n">
        <v>565</v>
      </c>
      <c r="B520" s="30" t="s">
        <v>781</v>
      </c>
      <c r="C520" s="30" t="s">
        <v>1009</v>
      </c>
      <c r="D520" s="30" t="s">
        <v>999</v>
      </c>
      <c r="E520" s="30" t="s">
        <v>1010</v>
      </c>
      <c r="F520" s="30" t="s">
        <v>1011</v>
      </c>
      <c r="G520" s="30" t="s">
        <v>1002</v>
      </c>
      <c r="H520" s="30" t="s">
        <v>1003</v>
      </c>
      <c r="I520" s="30" t="n">
        <v>3</v>
      </c>
      <c r="J520" s="30"/>
      <c r="K520" s="30" t="n">
        <v>65</v>
      </c>
      <c r="L520" s="30"/>
      <c r="M520" s="30" t="s">
        <v>1015</v>
      </c>
      <c r="N520" s="30" t="s">
        <v>53</v>
      </c>
      <c r="O520" s="30"/>
      <c r="P520" s="30"/>
      <c r="Q520" s="30"/>
      <c r="R520" s="30"/>
      <c r="S520" s="30"/>
      <c r="T520" s="30"/>
      <c r="U520" s="30" t="n">
        <v>3405.6</v>
      </c>
      <c r="V520" s="30" t="n">
        <v>3405.6</v>
      </c>
      <c r="W520" s="30" t="n">
        <v>626.58</v>
      </c>
      <c r="X520" s="30" t="s">
        <v>1006</v>
      </c>
      <c r="Y520" s="30" t="n">
        <v>466.09</v>
      </c>
      <c r="Z520" s="30" t="s">
        <v>1005</v>
      </c>
      <c r="AA520" s="30" t="n">
        <v>592.28</v>
      </c>
      <c r="AB520" s="30" t="s">
        <v>1005</v>
      </c>
      <c r="AC520" s="30" t="n">
        <v>301.26</v>
      </c>
      <c r="AD520" s="30" t="s">
        <v>1005</v>
      </c>
      <c r="AE520" s="30" t="n">
        <v>245.43</v>
      </c>
      <c r="AF520" s="30" t="s">
        <v>1005</v>
      </c>
      <c r="AG520" s="30" t="n">
        <v>183.21</v>
      </c>
      <c r="AH520" s="30" t="s">
        <v>1005</v>
      </c>
      <c r="AI520" s="30" t="n">
        <v>64.01</v>
      </c>
      <c r="AJ520" s="30" t="s">
        <v>1005</v>
      </c>
      <c r="AK520" s="30" t="n">
        <v>146.02</v>
      </c>
      <c r="AL520" s="30" t="s">
        <v>1005</v>
      </c>
      <c r="AM520" s="30" t="n">
        <v>137.34</v>
      </c>
      <c r="AN520" s="30" t="s">
        <v>1005</v>
      </c>
      <c r="AO520" s="30" t="n">
        <v>367.81</v>
      </c>
      <c r="AP520" s="30" t="s">
        <v>1005</v>
      </c>
      <c r="AQ520" s="30" t="n">
        <v>367.79</v>
      </c>
      <c r="AR520" s="30" t="s">
        <v>1005</v>
      </c>
      <c r="AS520" s="30" t="n">
        <v>365.88</v>
      </c>
      <c r="AT520" s="30" t="s">
        <v>1005</v>
      </c>
      <c r="AU520" s="30" t="n">
        <v>3863.7</v>
      </c>
      <c r="AV520" s="30" t="n">
        <v>1.102</v>
      </c>
      <c r="AW520" s="30" t="s">
        <v>1016</v>
      </c>
      <c r="AX520" s="30" t="s">
        <v>1008</v>
      </c>
      <c r="AY520" s="30" t="n">
        <v>3</v>
      </c>
      <c r="AZ520" s="30"/>
    </row>
    <row collapsed="false" customFormat="true" customHeight="true" hidden="false" ht="33" outlineLevel="0" r="521" s="73">
      <c r="A521" s="30" t="n">
        <v>566</v>
      </c>
      <c r="B521" s="30" t="s">
        <v>783</v>
      </c>
      <c r="C521" s="30" t="s">
        <v>1009</v>
      </c>
      <c r="D521" s="30" t="s">
        <v>999</v>
      </c>
      <c r="E521" s="30" t="s">
        <v>1010</v>
      </c>
      <c r="F521" s="30" t="s">
        <v>1011</v>
      </c>
      <c r="G521" s="30" t="s">
        <v>1002</v>
      </c>
      <c r="H521" s="30" t="s">
        <v>1003</v>
      </c>
      <c r="I521" s="30" t="n">
        <v>2</v>
      </c>
      <c r="J521" s="30"/>
      <c r="K521" s="30" t="n">
        <v>65</v>
      </c>
      <c r="L521" s="30"/>
      <c r="M521" s="30" t="s">
        <v>1015</v>
      </c>
      <c r="N521" s="30" t="s">
        <v>53</v>
      </c>
      <c r="O521" s="30"/>
      <c r="P521" s="30"/>
      <c r="Q521" s="30"/>
      <c r="R521" s="30"/>
      <c r="S521" s="30"/>
      <c r="T521" s="30"/>
      <c r="U521" s="30" t="n">
        <v>919.86</v>
      </c>
      <c r="V521" s="30" t="n">
        <v>919.86</v>
      </c>
      <c r="W521" s="30" t="n">
        <v>124.34</v>
      </c>
      <c r="X521" s="30" t="s">
        <v>1006</v>
      </c>
      <c r="Y521" s="30" t="n">
        <v>108.27</v>
      </c>
      <c r="Z521" s="30" t="s">
        <v>1006</v>
      </c>
      <c r="AA521" s="30" t="n">
        <v>107.71</v>
      </c>
      <c r="AB521" s="30" t="s">
        <v>1006</v>
      </c>
      <c r="AC521" s="30" t="n">
        <v>108.93</v>
      </c>
      <c r="AD521" s="30" t="s">
        <v>1006</v>
      </c>
      <c r="AE521" s="30" t="n">
        <v>4.32</v>
      </c>
      <c r="AF521" s="30" t="s">
        <v>1006</v>
      </c>
      <c r="AG521" s="30" t="n">
        <v>30.47</v>
      </c>
      <c r="AH521" s="30" t="s">
        <v>1006</v>
      </c>
      <c r="AI521" s="30" t="n">
        <v>9.06</v>
      </c>
      <c r="AJ521" s="30" t="s">
        <v>1006</v>
      </c>
      <c r="AK521" s="30" t="n">
        <v>19.35</v>
      </c>
      <c r="AL521" s="30" t="s">
        <v>1006</v>
      </c>
      <c r="AM521" s="30" t="n">
        <v>40.45</v>
      </c>
      <c r="AN521" s="30" t="s">
        <v>1006</v>
      </c>
      <c r="AO521" s="30" t="n">
        <v>99.22</v>
      </c>
      <c r="AP521" s="30" t="s">
        <v>1006</v>
      </c>
      <c r="AQ521" s="30" t="n">
        <v>99.78</v>
      </c>
      <c r="AR521" s="30" t="s">
        <v>1006</v>
      </c>
      <c r="AS521" s="30" t="n">
        <v>69.01</v>
      </c>
      <c r="AT521" s="30" t="s">
        <v>1005</v>
      </c>
      <c r="AU521" s="30" t="n">
        <v>820.91</v>
      </c>
      <c r="AV521" s="30" t="n">
        <v>0.335</v>
      </c>
      <c r="AW521" s="30" t="s">
        <v>1016</v>
      </c>
      <c r="AX521" s="30" t="s">
        <v>1008</v>
      </c>
      <c r="AY521" s="30" t="n">
        <v>2</v>
      </c>
      <c r="AZ521" s="30"/>
    </row>
    <row collapsed="false" customFormat="true" customHeight="true" hidden="false" ht="33" outlineLevel="0" r="522" s="73">
      <c r="A522" s="30" t="n">
        <v>568</v>
      </c>
      <c r="B522" s="30" t="s">
        <v>785</v>
      </c>
      <c r="C522" s="30" t="s">
        <v>1009</v>
      </c>
      <c r="D522" s="30" t="s">
        <v>999</v>
      </c>
      <c r="E522" s="30" t="s">
        <v>1010</v>
      </c>
      <c r="F522" s="30" t="s">
        <v>1011</v>
      </c>
      <c r="G522" s="30" t="s">
        <v>1002</v>
      </c>
      <c r="H522" s="30" t="s">
        <v>1003</v>
      </c>
      <c r="I522" s="30" t="n">
        <v>3</v>
      </c>
      <c r="J522" s="30"/>
      <c r="K522" s="30" t="n">
        <v>65</v>
      </c>
      <c r="L522" s="30"/>
      <c r="M522" s="30" t="s">
        <v>1015</v>
      </c>
      <c r="N522" s="30" t="s">
        <v>53</v>
      </c>
      <c r="O522" s="30"/>
      <c r="P522" s="30"/>
      <c r="Q522" s="30"/>
      <c r="R522" s="30"/>
      <c r="S522" s="30"/>
      <c r="T522" s="30"/>
      <c r="U522" s="30" t="n">
        <v>1399.18</v>
      </c>
      <c r="V522" s="30" t="n">
        <v>1399.18</v>
      </c>
      <c r="W522" s="30" t="n">
        <v>309.84</v>
      </c>
      <c r="X522" s="30" t="s">
        <v>1005</v>
      </c>
      <c r="Y522" s="30" t="n">
        <v>252.87</v>
      </c>
      <c r="Z522" s="30" t="s">
        <v>1005</v>
      </c>
      <c r="AA522" s="30" t="n">
        <v>282.53</v>
      </c>
      <c r="AB522" s="30" t="s">
        <v>1005</v>
      </c>
      <c r="AC522" s="30" t="n">
        <v>224.99</v>
      </c>
      <c r="AD522" s="30" t="s">
        <v>1005</v>
      </c>
      <c r="AE522" s="30" t="n">
        <v>141.44</v>
      </c>
      <c r="AF522" s="30" t="s">
        <v>1005</v>
      </c>
      <c r="AG522" s="30" t="n">
        <v>90.63</v>
      </c>
      <c r="AH522" s="30" t="s">
        <v>1005</v>
      </c>
      <c r="AI522" s="30" t="n">
        <v>39.03</v>
      </c>
      <c r="AJ522" s="30" t="s">
        <v>1005</v>
      </c>
      <c r="AK522" s="30" t="n">
        <v>82.43</v>
      </c>
      <c r="AL522" s="30" t="s">
        <v>1005</v>
      </c>
      <c r="AM522" s="30" t="n">
        <v>66.7</v>
      </c>
      <c r="AN522" s="30" t="s">
        <v>1005</v>
      </c>
      <c r="AO522" s="30" t="n">
        <v>194.35</v>
      </c>
      <c r="AP522" s="30" t="s">
        <v>1005</v>
      </c>
      <c r="AQ522" s="30" t="n">
        <v>199.71</v>
      </c>
      <c r="AR522" s="30" t="s">
        <v>1005</v>
      </c>
      <c r="AS522" s="30" t="n">
        <v>210.85</v>
      </c>
      <c r="AT522" s="30" t="s">
        <v>1005</v>
      </c>
      <c r="AU522" s="30" t="n">
        <v>2095.37</v>
      </c>
      <c r="AV522" s="30" t="n">
        <v>0.563</v>
      </c>
      <c r="AW522" s="30" t="s">
        <v>1016</v>
      </c>
      <c r="AX522" s="30" t="s">
        <v>1008</v>
      </c>
      <c r="AY522" s="30" t="n">
        <v>3</v>
      </c>
      <c r="AZ522" s="30"/>
    </row>
    <row collapsed="false" customFormat="true" customHeight="true" hidden="false" ht="33" outlineLevel="0" r="523" s="73">
      <c r="A523" s="30" t="n">
        <v>569</v>
      </c>
      <c r="B523" s="30" t="s">
        <v>787</v>
      </c>
      <c r="C523" s="30" t="s">
        <v>1009</v>
      </c>
      <c r="D523" s="30" t="s">
        <v>999</v>
      </c>
      <c r="E523" s="30" t="s">
        <v>1010</v>
      </c>
      <c r="F523" s="30" t="s">
        <v>1011</v>
      </c>
      <c r="G523" s="30" t="s">
        <v>1002</v>
      </c>
      <c r="H523" s="30" t="s">
        <v>1003</v>
      </c>
      <c r="I523" s="30" t="n">
        <v>2</v>
      </c>
      <c r="J523" s="30"/>
      <c r="K523" s="30" t="n">
        <v>65</v>
      </c>
      <c r="L523" s="30"/>
      <c r="M523" s="30" t="s">
        <v>1015</v>
      </c>
      <c r="N523" s="30" t="s">
        <v>53</v>
      </c>
      <c r="O523" s="30"/>
      <c r="P523" s="30"/>
      <c r="Q523" s="30"/>
      <c r="R523" s="30"/>
      <c r="S523" s="30"/>
      <c r="T523" s="30"/>
      <c r="U523" s="30" t="n">
        <v>1493.12</v>
      </c>
      <c r="V523" s="30" t="n">
        <v>1493.12</v>
      </c>
      <c r="W523" s="30" t="n">
        <v>260.91</v>
      </c>
      <c r="X523" s="30" t="s">
        <v>1006</v>
      </c>
      <c r="Y523" s="30" t="n">
        <v>224.21</v>
      </c>
      <c r="Z523" s="30" t="s">
        <v>1006</v>
      </c>
      <c r="AA523" s="30" t="n">
        <v>219.38</v>
      </c>
      <c r="AB523" s="30" t="s">
        <v>1006</v>
      </c>
      <c r="AC523" s="30" t="n">
        <v>219.48</v>
      </c>
      <c r="AD523" s="30" t="s">
        <v>1006</v>
      </c>
      <c r="AE523" s="30" t="n">
        <v>107.8</v>
      </c>
      <c r="AF523" s="30" t="s">
        <v>1006</v>
      </c>
      <c r="AG523" s="30" t="n">
        <v>49.64</v>
      </c>
      <c r="AH523" s="30" t="s">
        <v>1006</v>
      </c>
      <c r="AI523" s="30" t="n">
        <v>23.84</v>
      </c>
      <c r="AJ523" s="30" t="s">
        <v>1006</v>
      </c>
      <c r="AK523" s="30" t="n">
        <v>40.5</v>
      </c>
      <c r="AL523" s="30" t="s">
        <v>1006</v>
      </c>
      <c r="AM523" s="30" t="n">
        <v>81.79</v>
      </c>
      <c r="AN523" s="30" t="s">
        <v>1006</v>
      </c>
      <c r="AO523" s="30" t="n">
        <v>195.76</v>
      </c>
      <c r="AP523" s="30" t="s">
        <v>1006</v>
      </c>
      <c r="AQ523" s="30" t="n">
        <v>125.45</v>
      </c>
      <c r="AR523" s="30" t="s">
        <v>1005</v>
      </c>
      <c r="AS523" s="30" t="n">
        <v>218.33</v>
      </c>
      <c r="AT523" s="30" t="s">
        <v>1005</v>
      </c>
      <c r="AU523" s="30" t="n">
        <v>1767.09</v>
      </c>
      <c r="AV523" s="30" t="n">
        <v>0.443</v>
      </c>
      <c r="AW523" s="30" t="s">
        <v>1016</v>
      </c>
      <c r="AX523" s="30" t="s">
        <v>1008</v>
      </c>
      <c r="AY523" s="30" t="n">
        <v>2</v>
      </c>
      <c r="AZ523" s="30"/>
    </row>
    <row collapsed="false" customFormat="true" customHeight="true" hidden="false" ht="33" outlineLevel="0" r="524" s="73">
      <c r="A524" s="30" t="n">
        <v>570</v>
      </c>
      <c r="B524" s="30" t="s">
        <v>790</v>
      </c>
      <c r="C524" s="30" t="s">
        <v>1009</v>
      </c>
      <c r="D524" s="30" t="s">
        <v>999</v>
      </c>
      <c r="E524" s="30" t="s">
        <v>1010</v>
      </c>
      <c r="F524" s="30" t="s">
        <v>1011</v>
      </c>
      <c r="G524" s="30" t="s">
        <v>1002</v>
      </c>
      <c r="H524" s="30" t="s">
        <v>1003</v>
      </c>
      <c r="I524" s="30" t="n">
        <v>1</v>
      </c>
      <c r="J524" s="30"/>
      <c r="K524" s="30" t="n">
        <v>76</v>
      </c>
      <c r="L524" s="30"/>
      <c r="M524" s="30" t="s">
        <v>1015</v>
      </c>
      <c r="N524" s="30" t="s">
        <v>53</v>
      </c>
      <c r="O524" s="30"/>
      <c r="P524" s="30"/>
      <c r="Q524" s="30"/>
      <c r="R524" s="30"/>
      <c r="S524" s="30"/>
      <c r="T524" s="30"/>
      <c r="U524" s="30" t="n">
        <v>650.07</v>
      </c>
      <c r="V524" s="30" t="n">
        <v>650.07</v>
      </c>
      <c r="W524" s="30" t="n">
        <v>67.32</v>
      </c>
      <c r="X524" s="30" t="s">
        <v>1006</v>
      </c>
      <c r="Y524" s="30" t="n">
        <v>59.95</v>
      </c>
      <c r="Z524" s="30" t="s">
        <v>1006</v>
      </c>
      <c r="AA524" s="30" t="n">
        <v>59.27</v>
      </c>
      <c r="AB524" s="30" t="s">
        <v>1006</v>
      </c>
      <c r="AC524" s="30" t="n">
        <v>59.94</v>
      </c>
      <c r="AD524" s="30" t="s">
        <v>1006</v>
      </c>
      <c r="AE524" s="30" t="n">
        <v>29.03</v>
      </c>
      <c r="AF524" s="30" t="s">
        <v>1006</v>
      </c>
      <c r="AG524" s="30" t="n">
        <v>0</v>
      </c>
      <c r="AH524" s="30" t="s">
        <v>1006</v>
      </c>
      <c r="AI524" s="30" t="n">
        <v>9.5</v>
      </c>
      <c r="AJ524" s="30" t="s">
        <v>1006</v>
      </c>
      <c r="AK524" s="30" t="n">
        <v>9.83</v>
      </c>
      <c r="AL524" s="30" t="s">
        <v>1006</v>
      </c>
      <c r="AM524" s="30" t="n">
        <v>25.35</v>
      </c>
      <c r="AN524" s="30" t="s">
        <v>1006</v>
      </c>
      <c r="AO524" s="30" t="n">
        <v>39.56</v>
      </c>
      <c r="AP524" s="30" t="s">
        <v>1005</v>
      </c>
      <c r="AQ524" s="30" t="n">
        <v>60.64</v>
      </c>
      <c r="AR524" s="30" t="s">
        <v>1005</v>
      </c>
      <c r="AS524" s="30" t="n">
        <v>72.39</v>
      </c>
      <c r="AT524" s="30" t="s">
        <v>1005</v>
      </c>
      <c r="AU524" s="30" t="n">
        <v>492.78</v>
      </c>
      <c r="AV524" s="30" t="n">
        <v>0.225</v>
      </c>
      <c r="AW524" s="30" t="s">
        <v>1016</v>
      </c>
      <c r="AX524" s="30" t="s">
        <v>1008</v>
      </c>
      <c r="AY524" s="30" t="n">
        <v>1</v>
      </c>
      <c r="AZ524" s="30"/>
    </row>
    <row collapsed="false" customFormat="true" customHeight="true" hidden="false" ht="33" outlineLevel="0" r="525" s="73">
      <c r="A525" s="30" t="n">
        <v>571</v>
      </c>
      <c r="B525" s="30" t="s">
        <v>791</v>
      </c>
      <c r="C525" s="30" t="s">
        <v>1009</v>
      </c>
      <c r="D525" s="30" t="s">
        <v>999</v>
      </c>
      <c r="E525" s="30" t="s">
        <v>1010</v>
      </c>
      <c r="F525" s="30" t="s">
        <v>1011</v>
      </c>
      <c r="G525" s="30" t="s">
        <v>1002</v>
      </c>
      <c r="H525" s="30" t="s">
        <v>1003</v>
      </c>
      <c r="I525" s="30" t="n">
        <v>1</v>
      </c>
      <c r="J525" s="30"/>
      <c r="K525" s="30" t="n">
        <v>89</v>
      </c>
      <c r="L525" s="30"/>
      <c r="M525" s="30" t="s">
        <v>1015</v>
      </c>
      <c r="N525" s="30" t="s">
        <v>53</v>
      </c>
      <c r="O525" s="30"/>
      <c r="P525" s="30"/>
      <c r="Q525" s="30"/>
      <c r="R525" s="30"/>
      <c r="S525" s="30"/>
      <c r="T525" s="30"/>
      <c r="U525" s="30" t="n">
        <v>767.83</v>
      </c>
      <c r="V525" s="30" t="n">
        <v>767.83</v>
      </c>
      <c r="W525" s="30" t="n">
        <v>83.47</v>
      </c>
      <c r="X525" s="30" t="s">
        <v>1006</v>
      </c>
      <c r="Y525" s="30" t="n">
        <v>72.81</v>
      </c>
      <c r="Z525" s="30" t="s">
        <v>1006</v>
      </c>
      <c r="AA525" s="30" t="n">
        <v>74.1</v>
      </c>
      <c r="AB525" s="30" t="s">
        <v>1006</v>
      </c>
      <c r="AC525" s="30" t="n">
        <v>73.33</v>
      </c>
      <c r="AD525" s="30" t="s">
        <v>1006</v>
      </c>
      <c r="AE525" s="30" t="n">
        <v>34.79</v>
      </c>
      <c r="AF525" s="30" t="s">
        <v>1006</v>
      </c>
      <c r="AG525" s="30" t="n">
        <v>0</v>
      </c>
      <c r="AH525" s="30" t="s">
        <v>1006</v>
      </c>
      <c r="AI525" s="30" t="n">
        <v>11.16</v>
      </c>
      <c r="AJ525" s="30" t="s">
        <v>1006</v>
      </c>
      <c r="AK525" s="30" t="n">
        <v>13.03</v>
      </c>
      <c r="AL525" s="30" t="s">
        <v>1006</v>
      </c>
      <c r="AM525" s="30" t="n">
        <v>27.28</v>
      </c>
      <c r="AN525" s="30" t="s">
        <v>1006</v>
      </c>
      <c r="AO525" s="30" t="n">
        <v>68.7</v>
      </c>
      <c r="AP525" s="30" t="s">
        <v>1006</v>
      </c>
      <c r="AQ525" s="30" t="n">
        <v>38.77</v>
      </c>
      <c r="AR525" s="30" t="s">
        <v>1005</v>
      </c>
      <c r="AS525" s="30" t="n">
        <v>68.89</v>
      </c>
      <c r="AT525" s="30" t="s">
        <v>1005</v>
      </c>
      <c r="AU525" s="30" t="n">
        <v>566.33</v>
      </c>
      <c r="AV525" s="30" t="n">
        <v>0.262</v>
      </c>
      <c r="AW525" s="30" t="s">
        <v>1016</v>
      </c>
      <c r="AX525" s="30" t="s">
        <v>1008</v>
      </c>
      <c r="AY525" s="30" t="n">
        <v>1</v>
      </c>
      <c r="AZ525" s="30"/>
    </row>
    <row collapsed="false" customFormat="true" customHeight="true" hidden="false" ht="33" outlineLevel="0" r="526" s="73">
      <c r="A526" s="30" t="n">
        <v>572</v>
      </c>
      <c r="B526" s="30" t="s">
        <v>792</v>
      </c>
      <c r="C526" s="30" t="s">
        <v>1009</v>
      </c>
      <c r="D526" s="30" t="s">
        <v>999</v>
      </c>
      <c r="E526" s="30" t="s">
        <v>1010</v>
      </c>
      <c r="F526" s="30" t="s">
        <v>1011</v>
      </c>
      <c r="G526" s="30" t="s">
        <v>1002</v>
      </c>
      <c r="H526" s="30" t="s">
        <v>1003</v>
      </c>
      <c r="I526" s="30" t="n">
        <v>1</v>
      </c>
      <c r="J526" s="30"/>
      <c r="K526" s="30" t="n">
        <v>65</v>
      </c>
      <c r="L526" s="30"/>
      <c r="M526" s="30" t="s">
        <v>1015</v>
      </c>
      <c r="N526" s="30" t="s">
        <v>53</v>
      </c>
      <c r="O526" s="30"/>
      <c r="P526" s="30"/>
      <c r="Q526" s="30"/>
      <c r="R526" s="30"/>
      <c r="S526" s="30"/>
      <c r="T526" s="30"/>
      <c r="U526" s="30" t="n">
        <v>1372.81</v>
      </c>
      <c r="V526" s="30" t="n">
        <v>1372.81</v>
      </c>
      <c r="W526" s="30" t="n">
        <v>183.77</v>
      </c>
      <c r="X526" s="30" t="s">
        <v>1006</v>
      </c>
      <c r="Y526" s="30" t="n">
        <v>159.55</v>
      </c>
      <c r="Z526" s="30" t="s">
        <v>1006</v>
      </c>
      <c r="AA526" s="30" t="n">
        <v>159.17</v>
      </c>
      <c r="AB526" s="30" t="s">
        <v>1006</v>
      </c>
      <c r="AC526" s="30" t="n">
        <v>161.78</v>
      </c>
      <c r="AD526" s="30" t="s">
        <v>1006</v>
      </c>
      <c r="AE526" s="30" t="n">
        <v>77.54</v>
      </c>
      <c r="AF526" s="30" t="s">
        <v>1006</v>
      </c>
      <c r="AG526" s="30" t="n">
        <v>0</v>
      </c>
      <c r="AH526" s="30" t="s">
        <v>1006</v>
      </c>
      <c r="AI526" s="30" t="n">
        <v>21.19</v>
      </c>
      <c r="AJ526" s="30" t="s">
        <v>1006</v>
      </c>
      <c r="AK526" s="30" t="n">
        <v>28.93</v>
      </c>
      <c r="AL526" s="30" t="s">
        <v>1006</v>
      </c>
      <c r="AM526" s="30" t="n">
        <v>58.89</v>
      </c>
      <c r="AN526" s="30" t="s">
        <v>1006</v>
      </c>
      <c r="AO526" s="30" t="n">
        <v>79.56</v>
      </c>
      <c r="AP526" s="30" t="s">
        <v>1005</v>
      </c>
      <c r="AQ526" s="30" t="n">
        <v>119.16</v>
      </c>
      <c r="AR526" s="30" t="s">
        <v>1005</v>
      </c>
      <c r="AS526" s="30" t="n">
        <v>140.01</v>
      </c>
      <c r="AT526" s="30" t="s">
        <v>1005</v>
      </c>
      <c r="AU526" s="30" t="n">
        <v>1189.55</v>
      </c>
      <c r="AV526" s="30" t="n">
        <v>0.501</v>
      </c>
      <c r="AW526" s="30" t="s">
        <v>1016</v>
      </c>
      <c r="AX526" s="30" t="s">
        <v>1008</v>
      </c>
      <c r="AY526" s="30" t="n">
        <v>1</v>
      </c>
      <c r="AZ526" s="30"/>
    </row>
    <row collapsed="false" customFormat="true" customHeight="true" hidden="false" ht="33" outlineLevel="0" r="527" s="73">
      <c r="A527" s="30" t="n">
        <v>573</v>
      </c>
      <c r="B527" s="30" t="s">
        <v>794</v>
      </c>
      <c r="C527" s="30" t="s">
        <v>1009</v>
      </c>
      <c r="D527" s="30" t="s">
        <v>999</v>
      </c>
      <c r="E527" s="30" t="s">
        <v>1010</v>
      </c>
      <c r="F527" s="30" t="s">
        <v>1011</v>
      </c>
      <c r="G527" s="30" t="s">
        <v>1002</v>
      </c>
      <c r="H527" s="30" t="s">
        <v>1003</v>
      </c>
      <c r="I527" s="30" t="n">
        <v>1</v>
      </c>
      <c r="J527" s="30"/>
      <c r="K527" s="30" t="n">
        <v>65</v>
      </c>
      <c r="L527" s="30"/>
      <c r="M527" s="30" t="s">
        <v>1015</v>
      </c>
      <c r="N527" s="30" t="s">
        <v>53</v>
      </c>
      <c r="O527" s="30"/>
      <c r="P527" s="30"/>
      <c r="Q527" s="30"/>
      <c r="R527" s="30"/>
      <c r="S527" s="30"/>
      <c r="T527" s="30"/>
      <c r="U527" s="30" t="n">
        <v>1389.43</v>
      </c>
      <c r="V527" s="30" t="n">
        <v>1389.43</v>
      </c>
      <c r="W527" s="30" t="n">
        <v>167.72</v>
      </c>
      <c r="X527" s="30" t="s">
        <v>1006</v>
      </c>
      <c r="Y527" s="30" t="n">
        <v>150.1</v>
      </c>
      <c r="Z527" s="30" t="s">
        <v>1006</v>
      </c>
      <c r="AA527" s="30" t="n">
        <v>149.34</v>
      </c>
      <c r="AB527" s="30" t="s">
        <v>1006</v>
      </c>
      <c r="AC527" s="30" t="n">
        <v>147.45</v>
      </c>
      <c r="AD527" s="30" t="s">
        <v>1006</v>
      </c>
      <c r="AE527" s="30" t="n">
        <v>69.65</v>
      </c>
      <c r="AF527" s="30" t="s">
        <v>1006</v>
      </c>
      <c r="AG527" s="30" t="n">
        <v>0</v>
      </c>
      <c r="AH527" s="30" t="s">
        <v>1006</v>
      </c>
      <c r="AI527" s="30" t="n">
        <v>19.41</v>
      </c>
      <c r="AJ527" s="30" t="s">
        <v>1006</v>
      </c>
      <c r="AK527" s="30" t="n">
        <v>24.89</v>
      </c>
      <c r="AL527" s="30" t="s">
        <v>1006</v>
      </c>
      <c r="AM527" s="30" t="n">
        <v>54.47</v>
      </c>
      <c r="AN527" s="30" t="s">
        <v>1006</v>
      </c>
      <c r="AO527" s="30" t="n">
        <v>84.74</v>
      </c>
      <c r="AP527" s="30" t="s">
        <v>1005</v>
      </c>
      <c r="AQ527" s="30" t="n">
        <v>127.79</v>
      </c>
      <c r="AR527" s="30" t="s">
        <v>1005</v>
      </c>
      <c r="AS527" s="30" t="n">
        <v>150.7</v>
      </c>
      <c r="AT527" s="30" t="s">
        <v>1005</v>
      </c>
      <c r="AU527" s="30" t="n">
        <v>1146.26</v>
      </c>
      <c r="AV527" s="30" t="n">
        <v>0.512</v>
      </c>
      <c r="AW527" s="30" t="s">
        <v>1016</v>
      </c>
      <c r="AX527" s="30" t="s">
        <v>1008</v>
      </c>
      <c r="AY527" s="30" t="n">
        <v>1</v>
      </c>
      <c r="AZ527" s="30"/>
    </row>
    <row collapsed="false" customFormat="true" customHeight="true" hidden="false" ht="33" outlineLevel="0" r="528" s="73">
      <c r="A528" s="30" t="n">
        <v>574</v>
      </c>
      <c r="B528" s="30" t="s">
        <v>796</v>
      </c>
      <c r="C528" s="30" t="s">
        <v>1009</v>
      </c>
      <c r="D528" s="30" t="s">
        <v>999</v>
      </c>
      <c r="E528" s="30" t="s">
        <v>1010</v>
      </c>
      <c r="F528" s="30" t="s">
        <v>1011</v>
      </c>
      <c r="G528" s="30" t="s">
        <v>1002</v>
      </c>
      <c r="H528" s="30" t="s">
        <v>1003</v>
      </c>
      <c r="I528" s="30" t="n">
        <v>2</v>
      </c>
      <c r="J528" s="30"/>
      <c r="K528" s="30" t="n">
        <v>65</v>
      </c>
      <c r="L528" s="30"/>
      <c r="M528" s="30" t="s">
        <v>1015</v>
      </c>
      <c r="N528" s="30" t="s">
        <v>53</v>
      </c>
      <c r="O528" s="30"/>
      <c r="P528" s="30"/>
      <c r="Q528" s="30"/>
      <c r="R528" s="30"/>
      <c r="S528" s="30"/>
      <c r="T528" s="30"/>
      <c r="U528" s="30" t="n">
        <v>1465.5</v>
      </c>
      <c r="V528" s="30" t="n">
        <v>1465.5</v>
      </c>
      <c r="W528" s="30" t="n">
        <v>254.47</v>
      </c>
      <c r="X528" s="30" t="s">
        <v>1005</v>
      </c>
      <c r="Y528" s="30" t="n">
        <v>175.79</v>
      </c>
      <c r="Z528" s="30" t="s">
        <v>1005</v>
      </c>
      <c r="AA528" s="30" t="n">
        <v>165.88</v>
      </c>
      <c r="AB528" s="30" t="s">
        <v>1005</v>
      </c>
      <c r="AC528" s="30" t="n">
        <v>116.52</v>
      </c>
      <c r="AD528" s="30" t="s">
        <v>1005</v>
      </c>
      <c r="AE528" s="30" t="n">
        <v>86.01</v>
      </c>
      <c r="AF528" s="30" t="s">
        <v>1005</v>
      </c>
      <c r="AG528" s="30" t="n">
        <v>0</v>
      </c>
      <c r="AH528" s="30" t="s">
        <v>1005</v>
      </c>
      <c r="AI528" s="30" t="n">
        <v>15</v>
      </c>
      <c r="AJ528" s="30" t="s">
        <v>1005</v>
      </c>
      <c r="AK528" s="30" t="n">
        <v>25.86</v>
      </c>
      <c r="AL528" s="30" t="s">
        <v>1005</v>
      </c>
      <c r="AM528" s="30" t="n">
        <v>42.45</v>
      </c>
      <c r="AN528" s="30" t="s">
        <v>1005</v>
      </c>
      <c r="AO528" s="30" t="n">
        <v>138.63</v>
      </c>
      <c r="AP528" s="30" t="s">
        <v>1005</v>
      </c>
      <c r="AQ528" s="30" t="n">
        <v>136.26</v>
      </c>
      <c r="AR528" s="30" t="s">
        <v>1005</v>
      </c>
      <c r="AS528" s="30" t="n">
        <v>122.66</v>
      </c>
      <c r="AT528" s="30" t="s">
        <v>1005</v>
      </c>
      <c r="AU528" s="30" t="n">
        <v>1279.53</v>
      </c>
      <c r="AV528" s="30" t="n">
        <v>0.521</v>
      </c>
      <c r="AW528" s="30" t="s">
        <v>1016</v>
      </c>
      <c r="AX528" s="30" t="s">
        <v>1008</v>
      </c>
      <c r="AY528" s="30" t="n">
        <v>2</v>
      </c>
      <c r="AZ528" s="30"/>
    </row>
    <row collapsed="false" customFormat="true" customHeight="true" hidden="false" ht="33" outlineLevel="0" r="529" s="73">
      <c r="A529" s="30" t="n">
        <v>575</v>
      </c>
      <c r="B529" s="30" t="s">
        <v>797</v>
      </c>
      <c r="C529" s="30" t="s">
        <v>1009</v>
      </c>
      <c r="D529" s="30" t="s">
        <v>999</v>
      </c>
      <c r="E529" s="30" t="s">
        <v>1010</v>
      </c>
      <c r="F529" s="30" t="s">
        <v>1011</v>
      </c>
      <c r="G529" s="30" t="s">
        <v>1002</v>
      </c>
      <c r="H529" s="30" t="s">
        <v>1003</v>
      </c>
      <c r="I529" s="30" t="n">
        <v>2</v>
      </c>
      <c r="J529" s="30"/>
      <c r="K529" s="30" t="n">
        <v>65</v>
      </c>
      <c r="L529" s="30"/>
      <c r="M529" s="30" t="s">
        <v>1015</v>
      </c>
      <c r="N529" s="30" t="s">
        <v>53</v>
      </c>
      <c r="O529" s="30"/>
      <c r="P529" s="30"/>
      <c r="Q529" s="30"/>
      <c r="R529" s="30"/>
      <c r="S529" s="30"/>
      <c r="T529" s="30"/>
      <c r="U529" s="30" t="n">
        <v>963.34</v>
      </c>
      <c r="V529" s="30" t="n">
        <v>963.34</v>
      </c>
      <c r="W529" s="30" t="n">
        <v>185.53</v>
      </c>
      <c r="X529" s="30" t="s">
        <v>1005</v>
      </c>
      <c r="Y529" s="30" t="n">
        <v>138.47</v>
      </c>
      <c r="Z529" s="30" t="s">
        <v>1005</v>
      </c>
      <c r="AA529" s="30" t="n">
        <v>153.77</v>
      </c>
      <c r="AB529" s="30" t="s">
        <v>1005</v>
      </c>
      <c r="AC529" s="30" t="n">
        <v>96.35</v>
      </c>
      <c r="AD529" s="30" t="s">
        <v>1005</v>
      </c>
      <c r="AE529" s="30" t="n">
        <v>71.6</v>
      </c>
      <c r="AF529" s="30" t="s">
        <v>1005</v>
      </c>
      <c r="AG529" s="30" t="n">
        <v>0</v>
      </c>
      <c r="AH529" s="30" t="s">
        <v>1005</v>
      </c>
      <c r="AI529" s="30" t="n">
        <v>15.1</v>
      </c>
      <c r="AJ529" s="30" t="s">
        <v>1005</v>
      </c>
      <c r="AK529" s="30" t="n">
        <v>21.37</v>
      </c>
      <c r="AL529" s="30" t="s">
        <v>1005</v>
      </c>
      <c r="AM529" s="30" t="n">
        <v>32.03</v>
      </c>
      <c r="AN529" s="30" t="s">
        <v>1005</v>
      </c>
      <c r="AO529" s="30" t="n">
        <v>100.82</v>
      </c>
      <c r="AP529" s="30" t="s">
        <v>1005</v>
      </c>
      <c r="AQ529" s="30" t="n">
        <v>103.09</v>
      </c>
      <c r="AR529" s="30" t="s">
        <v>1005</v>
      </c>
      <c r="AS529" s="30" t="n">
        <v>124.56</v>
      </c>
      <c r="AT529" s="30" t="s">
        <v>1005</v>
      </c>
      <c r="AU529" s="30" t="n">
        <v>1042.69</v>
      </c>
      <c r="AV529" s="30" t="n">
        <v>0.375</v>
      </c>
      <c r="AW529" s="30" t="s">
        <v>1016</v>
      </c>
      <c r="AX529" s="30" t="s">
        <v>1008</v>
      </c>
      <c r="AY529" s="30" t="n">
        <v>2</v>
      </c>
      <c r="AZ529" s="30"/>
    </row>
    <row collapsed="false" customFormat="true" customHeight="true" hidden="false" ht="33" outlineLevel="0" r="530" s="73">
      <c r="A530" s="30" t="n">
        <v>576</v>
      </c>
      <c r="B530" s="30" t="s">
        <v>799</v>
      </c>
      <c r="C530" s="30" t="s">
        <v>1009</v>
      </c>
      <c r="D530" s="30" t="s">
        <v>999</v>
      </c>
      <c r="E530" s="30" t="s">
        <v>1010</v>
      </c>
      <c r="F530" s="30" t="s">
        <v>1011</v>
      </c>
      <c r="G530" s="30" t="s">
        <v>1002</v>
      </c>
      <c r="H530" s="30" t="s">
        <v>1003</v>
      </c>
      <c r="I530" s="30" t="n">
        <v>1</v>
      </c>
      <c r="J530" s="30"/>
      <c r="K530" s="30" t="n">
        <v>89</v>
      </c>
      <c r="L530" s="30"/>
      <c r="M530" s="30" t="s">
        <v>1015</v>
      </c>
      <c r="N530" s="30" t="s">
        <v>53</v>
      </c>
      <c r="O530" s="30"/>
      <c r="P530" s="30"/>
      <c r="Q530" s="30"/>
      <c r="R530" s="30"/>
      <c r="S530" s="30"/>
      <c r="T530" s="30"/>
      <c r="U530" s="30" t="n">
        <v>742.31</v>
      </c>
      <c r="V530" s="30" t="n">
        <v>742.31</v>
      </c>
      <c r="W530" s="30" t="n">
        <v>120.93</v>
      </c>
      <c r="X530" s="30" t="s">
        <v>1006</v>
      </c>
      <c r="Y530" s="30" t="n">
        <v>120.93</v>
      </c>
      <c r="Z530" s="30" t="s">
        <v>1006</v>
      </c>
      <c r="AA530" s="30" t="n">
        <v>142.76</v>
      </c>
      <c r="AB530" s="30" t="s">
        <v>1005</v>
      </c>
      <c r="AC530" s="30" t="n">
        <v>71.74</v>
      </c>
      <c r="AD530" s="30" t="s">
        <v>1005</v>
      </c>
      <c r="AE530" s="30" t="n">
        <v>53.16</v>
      </c>
      <c r="AF530" s="30" t="s">
        <v>1005</v>
      </c>
      <c r="AG530" s="30" t="n">
        <v>0</v>
      </c>
      <c r="AH530" s="30" t="s">
        <v>1005</v>
      </c>
      <c r="AI530" s="30" t="n">
        <v>21.16</v>
      </c>
      <c r="AJ530" s="30" t="s">
        <v>1005</v>
      </c>
      <c r="AK530" s="30" t="n">
        <v>13.36</v>
      </c>
      <c r="AL530" s="30" t="s">
        <v>1005</v>
      </c>
      <c r="AM530" s="30" t="n">
        <v>19.44</v>
      </c>
      <c r="AN530" s="30" t="s">
        <v>1005</v>
      </c>
      <c r="AO530" s="30" t="n">
        <v>74.24</v>
      </c>
      <c r="AP530" s="30" t="s">
        <v>1005</v>
      </c>
      <c r="AQ530" s="30" t="n">
        <v>76.85</v>
      </c>
      <c r="AR530" s="30" t="s">
        <v>1005</v>
      </c>
      <c r="AS530" s="30" t="n">
        <v>91.47</v>
      </c>
      <c r="AT530" s="30" t="s">
        <v>1005</v>
      </c>
      <c r="AU530" s="30" t="n">
        <v>806.04</v>
      </c>
      <c r="AV530" s="30" t="n">
        <v>0.351</v>
      </c>
      <c r="AW530" s="30" t="s">
        <v>1016</v>
      </c>
      <c r="AX530" s="30" t="s">
        <v>1008</v>
      </c>
      <c r="AY530" s="30" t="n">
        <v>1</v>
      </c>
      <c r="AZ530" s="30"/>
    </row>
    <row collapsed="false" customFormat="true" customHeight="true" hidden="false" ht="33" outlineLevel="0" r="531" s="73">
      <c r="A531" s="30" t="n">
        <v>577</v>
      </c>
      <c r="B531" s="30" t="s">
        <v>800</v>
      </c>
      <c r="C531" s="30" t="s">
        <v>1009</v>
      </c>
      <c r="D531" s="30" t="s">
        <v>999</v>
      </c>
      <c r="E531" s="30" t="s">
        <v>1010</v>
      </c>
      <c r="F531" s="30" t="s">
        <v>1011</v>
      </c>
      <c r="G531" s="30" t="s">
        <v>1002</v>
      </c>
      <c r="H531" s="30" t="s">
        <v>1003</v>
      </c>
      <c r="I531" s="30" t="n">
        <v>2</v>
      </c>
      <c r="J531" s="30"/>
      <c r="K531" s="30" t="n">
        <v>65</v>
      </c>
      <c r="L531" s="30"/>
      <c r="M531" s="30" t="s">
        <v>1015</v>
      </c>
      <c r="N531" s="30" t="s">
        <v>53</v>
      </c>
      <c r="O531" s="30"/>
      <c r="P531" s="30"/>
      <c r="Q531" s="30"/>
      <c r="R531" s="30"/>
      <c r="S531" s="30"/>
      <c r="T531" s="30"/>
      <c r="U531" s="30" t="n">
        <v>851.95</v>
      </c>
      <c r="V531" s="30" t="n">
        <v>851.95</v>
      </c>
      <c r="W531" s="30" t="n">
        <v>134.12</v>
      </c>
      <c r="X531" s="30" t="s">
        <v>1006</v>
      </c>
      <c r="Y531" s="30" t="n">
        <v>134.12</v>
      </c>
      <c r="Z531" s="30" t="s">
        <v>1006</v>
      </c>
      <c r="AA531" s="30" t="n">
        <v>166.45</v>
      </c>
      <c r="AB531" s="30" t="s">
        <v>1005</v>
      </c>
      <c r="AC531" s="30" t="n">
        <v>88.19</v>
      </c>
      <c r="AD531" s="30" t="s">
        <v>1005</v>
      </c>
      <c r="AE531" s="30" t="n">
        <v>69.25</v>
      </c>
      <c r="AF531" s="30" t="s">
        <v>1005</v>
      </c>
      <c r="AG531" s="30" t="n">
        <v>0</v>
      </c>
      <c r="AH531" s="30" t="s">
        <v>1005</v>
      </c>
      <c r="AI531" s="30" t="n">
        <v>13.76</v>
      </c>
      <c r="AJ531" s="30" t="s">
        <v>1005</v>
      </c>
      <c r="AK531" s="30" t="n">
        <v>19.39</v>
      </c>
      <c r="AL531" s="30" t="s">
        <v>1005</v>
      </c>
      <c r="AM531" s="30" t="n">
        <v>28.45</v>
      </c>
      <c r="AN531" s="30" t="s">
        <v>1005</v>
      </c>
      <c r="AO531" s="30" t="n">
        <v>93.84</v>
      </c>
      <c r="AP531" s="30" t="s">
        <v>1005</v>
      </c>
      <c r="AQ531" s="30" t="n">
        <v>100.18</v>
      </c>
      <c r="AR531" s="30" t="s">
        <v>1005</v>
      </c>
      <c r="AS531" s="30" t="n">
        <v>120.02</v>
      </c>
      <c r="AT531" s="30" t="s">
        <v>1005</v>
      </c>
      <c r="AU531" s="30" t="n">
        <v>967.77</v>
      </c>
      <c r="AV531" s="30" t="n">
        <v>0.372</v>
      </c>
      <c r="AW531" s="30" t="s">
        <v>1016</v>
      </c>
      <c r="AX531" s="30" t="s">
        <v>1008</v>
      </c>
      <c r="AY531" s="30" t="n">
        <v>2</v>
      </c>
      <c r="AZ531" s="30"/>
    </row>
    <row collapsed="false" customFormat="true" customHeight="true" hidden="false" ht="33" outlineLevel="0" r="532" s="73">
      <c r="A532" s="30" t="n">
        <v>578</v>
      </c>
      <c r="B532" s="30" t="s">
        <v>801</v>
      </c>
      <c r="C532" s="30" t="s">
        <v>1009</v>
      </c>
      <c r="D532" s="30" t="s">
        <v>999</v>
      </c>
      <c r="E532" s="30" t="s">
        <v>1010</v>
      </c>
      <c r="F532" s="30" t="s">
        <v>1011</v>
      </c>
      <c r="G532" s="30" t="s">
        <v>1002</v>
      </c>
      <c r="H532" s="30" t="s">
        <v>1003</v>
      </c>
      <c r="I532" s="30" t="n">
        <v>3</v>
      </c>
      <c r="J532" s="30"/>
      <c r="K532" s="30" t="n">
        <v>65</v>
      </c>
      <c r="L532" s="30"/>
      <c r="M532" s="30" t="s">
        <v>1015</v>
      </c>
      <c r="N532" s="30" t="s">
        <v>53</v>
      </c>
      <c r="O532" s="30"/>
      <c r="P532" s="30"/>
      <c r="Q532" s="30"/>
      <c r="R532" s="30"/>
      <c r="S532" s="30"/>
      <c r="T532" s="30"/>
      <c r="U532" s="30" t="n">
        <v>796.25</v>
      </c>
      <c r="V532" s="30" t="n">
        <v>796.25</v>
      </c>
      <c r="W532" s="30" t="n">
        <v>173.69</v>
      </c>
      <c r="X532" s="30" t="s">
        <v>1005</v>
      </c>
      <c r="Y532" s="30" t="n">
        <v>122.8</v>
      </c>
      <c r="Z532" s="30" t="s">
        <v>1005</v>
      </c>
      <c r="AA532" s="30" t="n">
        <v>160.8</v>
      </c>
      <c r="AB532" s="30" t="s">
        <v>1005</v>
      </c>
      <c r="AC532" s="30" t="n">
        <v>82.5</v>
      </c>
      <c r="AD532" s="30" t="s">
        <v>1005</v>
      </c>
      <c r="AE532" s="30" t="n">
        <v>64.34</v>
      </c>
      <c r="AF532" s="30" t="s">
        <v>1005</v>
      </c>
      <c r="AG532" s="30" t="n">
        <v>0</v>
      </c>
      <c r="AH532" s="30" t="s">
        <v>1005</v>
      </c>
      <c r="AI532" s="30" t="n">
        <v>10.57</v>
      </c>
      <c r="AJ532" s="30" t="s">
        <v>1005</v>
      </c>
      <c r="AK532" s="30" t="n">
        <v>21.49</v>
      </c>
      <c r="AL532" s="30" t="s">
        <v>1005</v>
      </c>
      <c r="AM532" s="30" t="n">
        <v>20.81</v>
      </c>
      <c r="AN532" s="30" t="s">
        <v>1005</v>
      </c>
      <c r="AO532" s="30" t="n">
        <v>86.79</v>
      </c>
      <c r="AP532" s="30" t="s">
        <v>1005</v>
      </c>
      <c r="AQ532" s="30" t="n">
        <v>86.04</v>
      </c>
      <c r="AR532" s="30" t="s">
        <v>1005</v>
      </c>
      <c r="AS532" s="30" t="n">
        <v>86.76</v>
      </c>
      <c r="AT532" s="30" t="s">
        <v>1005</v>
      </c>
      <c r="AU532" s="30" t="n">
        <v>916.59</v>
      </c>
      <c r="AV532" s="30" t="n">
        <v>0.32874</v>
      </c>
      <c r="AW532" s="30" t="s">
        <v>1016</v>
      </c>
      <c r="AX532" s="30" t="s">
        <v>1008</v>
      </c>
      <c r="AY532" s="30" t="n">
        <v>3</v>
      </c>
      <c r="AZ532" s="30"/>
    </row>
    <row collapsed="false" customFormat="true" customHeight="true" hidden="false" ht="33" outlineLevel="0" r="533" s="73">
      <c r="A533" s="30" t="n">
        <v>580</v>
      </c>
      <c r="B533" s="30" t="s">
        <v>803</v>
      </c>
      <c r="C533" s="30" t="s">
        <v>1009</v>
      </c>
      <c r="D533" s="30" t="s">
        <v>999</v>
      </c>
      <c r="E533" s="30" t="s">
        <v>1010</v>
      </c>
      <c r="F533" s="30" t="s">
        <v>1011</v>
      </c>
      <c r="G533" s="30" t="s">
        <v>1002</v>
      </c>
      <c r="H533" s="30" t="s">
        <v>1003</v>
      </c>
      <c r="I533" s="30" t="n">
        <v>2</v>
      </c>
      <c r="J533" s="30"/>
      <c r="K533" s="30" t="n">
        <v>89</v>
      </c>
      <c r="L533" s="30"/>
      <c r="M533" s="30" t="s">
        <v>1015</v>
      </c>
      <c r="N533" s="30" t="s">
        <v>53</v>
      </c>
      <c r="O533" s="30"/>
      <c r="P533" s="30"/>
      <c r="Q533" s="30"/>
      <c r="R533" s="30"/>
      <c r="S533" s="30"/>
      <c r="T533" s="30"/>
      <c r="U533" s="30" t="n">
        <v>1105.01</v>
      </c>
      <c r="V533" s="30" t="n">
        <v>1105.01</v>
      </c>
      <c r="W533" s="30" t="n">
        <v>213.6</v>
      </c>
      <c r="X533" s="30" t="s">
        <v>1006</v>
      </c>
      <c r="Y533" s="30" t="n">
        <v>193.64</v>
      </c>
      <c r="Z533" s="30" t="s">
        <v>1006</v>
      </c>
      <c r="AA533" s="30" t="n">
        <v>194</v>
      </c>
      <c r="AB533" s="30" t="s">
        <v>1006</v>
      </c>
      <c r="AC533" s="30" t="n">
        <v>194.05</v>
      </c>
      <c r="AD533" s="30" t="s">
        <v>1006</v>
      </c>
      <c r="AE533" s="30" t="n">
        <v>101.35</v>
      </c>
      <c r="AF533" s="30" t="s">
        <v>1006</v>
      </c>
      <c r="AG533" s="30" t="n">
        <v>0</v>
      </c>
      <c r="AH533" s="30" t="s">
        <v>1006</v>
      </c>
      <c r="AI533" s="30" t="n">
        <v>19.84</v>
      </c>
      <c r="AJ533" s="30" t="s">
        <v>1006</v>
      </c>
      <c r="AK533" s="30" t="n">
        <v>36.55</v>
      </c>
      <c r="AL533" s="30" t="s">
        <v>1006</v>
      </c>
      <c r="AM533" s="30" t="n">
        <v>17.79</v>
      </c>
      <c r="AN533" s="30" t="s">
        <v>1006</v>
      </c>
      <c r="AO533" s="30" t="n">
        <v>166.5</v>
      </c>
      <c r="AP533" s="30" t="s">
        <v>1006</v>
      </c>
      <c r="AQ533" s="30" t="n">
        <v>164.92</v>
      </c>
      <c r="AR533" s="30" t="s">
        <v>1006</v>
      </c>
      <c r="AS533" s="30" t="n">
        <v>69.35</v>
      </c>
      <c r="AT533" s="30" t="s">
        <v>1005</v>
      </c>
      <c r="AU533" s="30" t="n">
        <v>1371.59</v>
      </c>
      <c r="AV533" s="30" t="n">
        <v>0.365</v>
      </c>
      <c r="AW533" s="30" t="s">
        <v>1016</v>
      </c>
      <c r="AX533" s="30" t="s">
        <v>1008</v>
      </c>
      <c r="AY533" s="30" t="n">
        <v>2</v>
      </c>
      <c r="AZ533" s="30"/>
    </row>
    <row collapsed="false" customFormat="true" customHeight="true" hidden="false" ht="33" outlineLevel="0" r="534" s="73">
      <c r="A534" s="30" t="n">
        <v>581</v>
      </c>
      <c r="B534" s="30" t="s">
        <v>804</v>
      </c>
      <c r="C534" s="30" t="s">
        <v>1009</v>
      </c>
      <c r="D534" s="30" t="s">
        <v>999</v>
      </c>
      <c r="E534" s="30" t="s">
        <v>1010</v>
      </c>
      <c r="F534" s="30" t="s">
        <v>1011</v>
      </c>
      <c r="G534" s="30" t="s">
        <v>1002</v>
      </c>
      <c r="H534" s="30" t="s">
        <v>1003</v>
      </c>
      <c r="I534" s="30" t="n">
        <v>0</v>
      </c>
      <c r="J534" s="30"/>
      <c r="K534" s="30" t="n">
        <v>65</v>
      </c>
      <c r="L534" s="30"/>
      <c r="M534" s="30" t="s">
        <v>1015</v>
      </c>
      <c r="N534" s="30" t="s">
        <v>53</v>
      </c>
      <c r="O534" s="30"/>
      <c r="P534" s="30"/>
      <c r="Q534" s="30"/>
      <c r="R534" s="30"/>
      <c r="S534" s="30"/>
      <c r="T534" s="30"/>
      <c r="U534" s="30" t="n">
        <v>141.81</v>
      </c>
      <c r="V534" s="30" t="n">
        <v>141.81</v>
      </c>
      <c r="W534" s="30" t="n">
        <v>19.42</v>
      </c>
      <c r="X534" s="30" t="s">
        <v>1006</v>
      </c>
      <c r="Y534" s="30" t="n">
        <v>18.74</v>
      </c>
      <c r="Z534" s="30" t="s">
        <v>1006</v>
      </c>
      <c r="AA534" s="30" t="n">
        <v>15.18</v>
      </c>
      <c r="AB534" s="30" t="s">
        <v>1006</v>
      </c>
      <c r="AC534" s="30" t="n">
        <v>15.06</v>
      </c>
      <c r="AD534" s="30" t="s">
        <v>1006</v>
      </c>
      <c r="AE534" s="30" t="n">
        <v>6.49</v>
      </c>
      <c r="AF534" s="30" t="s">
        <v>1006</v>
      </c>
      <c r="AG534" s="30" t="n">
        <v>0</v>
      </c>
      <c r="AH534" s="30" t="s">
        <v>1006</v>
      </c>
      <c r="AI534" s="30" t="n">
        <v>1.21</v>
      </c>
      <c r="AJ534" s="30" t="s">
        <v>1006</v>
      </c>
      <c r="AK534" s="30" t="n">
        <v>1.61</v>
      </c>
      <c r="AL534" s="30" t="s">
        <v>1006</v>
      </c>
      <c r="AM534" s="30" t="n">
        <v>4.87</v>
      </c>
      <c r="AN534" s="30" t="s">
        <v>1006</v>
      </c>
      <c r="AO534" s="30" t="n">
        <v>14.1</v>
      </c>
      <c r="AP534" s="30" t="s">
        <v>1006</v>
      </c>
      <c r="AQ534" s="30" t="n">
        <v>14.52</v>
      </c>
      <c r="AR534" s="30" t="s">
        <v>1006</v>
      </c>
      <c r="AS534" s="30" t="n">
        <v>13.77</v>
      </c>
      <c r="AT534" s="30" t="s">
        <v>1006</v>
      </c>
      <c r="AU534" s="30" t="n">
        <v>124.97</v>
      </c>
      <c r="AV534" s="30" t="n">
        <v>0.059</v>
      </c>
      <c r="AW534" s="30" t="s">
        <v>1016</v>
      </c>
      <c r="AX534" s="30" t="s">
        <v>1008</v>
      </c>
      <c r="AY534" s="30" t="n">
        <v>1</v>
      </c>
      <c r="AZ534" s="30"/>
    </row>
    <row collapsed="false" customFormat="true" customHeight="true" hidden="false" ht="33" outlineLevel="0" r="535" s="73">
      <c r="A535" s="30" t="n">
        <v>582</v>
      </c>
      <c r="B535" s="30" t="s">
        <v>805</v>
      </c>
      <c r="C535" s="30" t="s">
        <v>1009</v>
      </c>
      <c r="D535" s="30" t="s">
        <v>999</v>
      </c>
      <c r="E535" s="30" t="s">
        <v>1010</v>
      </c>
      <c r="F535" s="30" t="s">
        <v>1011</v>
      </c>
      <c r="G535" s="30" t="s">
        <v>1002</v>
      </c>
      <c r="H535" s="30" t="s">
        <v>1003</v>
      </c>
      <c r="I535" s="30" t="n">
        <v>0</v>
      </c>
      <c r="J535" s="30"/>
      <c r="K535" s="30" t="n">
        <v>65</v>
      </c>
      <c r="L535" s="30"/>
      <c r="M535" s="30" t="s">
        <v>1015</v>
      </c>
      <c r="N535" s="30" t="s">
        <v>53</v>
      </c>
      <c r="O535" s="30"/>
      <c r="P535" s="30"/>
      <c r="Q535" s="30"/>
      <c r="R535" s="30"/>
      <c r="S535" s="30"/>
      <c r="T535" s="30"/>
      <c r="U535" s="30" t="n">
        <v>135.32</v>
      </c>
      <c r="V535" s="30" t="n">
        <v>135.32</v>
      </c>
      <c r="W535" s="30" t="n">
        <v>21.72</v>
      </c>
      <c r="X535" s="30" t="s">
        <v>1006</v>
      </c>
      <c r="Y535" s="30" t="n">
        <v>16.54</v>
      </c>
      <c r="Z535" s="30" t="s">
        <v>1006</v>
      </c>
      <c r="AA535" s="30" t="n">
        <v>16.66</v>
      </c>
      <c r="AB535" s="30" t="s">
        <v>1006</v>
      </c>
      <c r="AC535" s="30" t="n">
        <v>16.54</v>
      </c>
      <c r="AD535" s="30" t="s">
        <v>1006</v>
      </c>
      <c r="AE535" s="30" t="n">
        <v>8.32</v>
      </c>
      <c r="AF535" s="30" t="s">
        <v>1006</v>
      </c>
      <c r="AG535" s="30" t="n">
        <v>0</v>
      </c>
      <c r="AH535" s="30" t="s">
        <v>1006</v>
      </c>
      <c r="AI535" s="30" t="n">
        <v>1.34</v>
      </c>
      <c r="AJ535" s="30" t="s">
        <v>1006</v>
      </c>
      <c r="AK535" s="30" t="n">
        <v>2.77</v>
      </c>
      <c r="AL535" s="30" t="s">
        <v>1006</v>
      </c>
      <c r="AM535" s="30" t="n">
        <v>5.95</v>
      </c>
      <c r="AN535" s="30" t="s">
        <v>1006</v>
      </c>
      <c r="AO535" s="30" t="n">
        <v>15.06</v>
      </c>
      <c r="AP535" s="30" t="s">
        <v>1006</v>
      </c>
      <c r="AQ535" s="30" t="n">
        <v>14.82</v>
      </c>
      <c r="AR535" s="30" t="s">
        <v>1006</v>
      </c>
      <c r="AS535" s="30" t="n">
        <v>14.94</v>
      </c>
      <c r="AT535" s="30" t="s">
        <v>1006</v>
      </c>
      <c r="AU535" s="30" t="n">
        <v>134.66</v>
      </c>
      <c r="AV535" s="30" t="n">
        <v>0.059</v>
      </c>
      <c r="AW535" s="30" t="s">
        <v>1016</v>
      </c>
      <c r="AX535" s="30" t="s">
        <v>1008</v>
      </c>
      <c r="AY535" s="30" t="n">
        <v>1</v>
      </c>
      <c r="AZ535" s="30"/>
    </row>
    <row collapsed="false" customFormat="true" customHeight="true" hidden="false" ht="33" outlineLevel="0" r="536" s="73">
      <c r="A536" s="30" t="n">
        <v>583</v>
      </c>
      <c r="B536" s="30" t="s">
        <v>807</v>
      </c>
      <c r="C536" s="30" t="s">
        <v>1009</v>
      </c>
      <c r="D536" s="30" t="s">
        <v>999</v>
      </c>
      <c r="E536" s="30" t="s">
        <v>1010</v>
      </c>
      <c r="F536" s="30" t="s">
        <v>1011</v>
      </c>
      <c r="G536" s="30" t="s">
        <v>1002</v>
      </c>
      <c r="H536" s="30" t="s">
        <v>1003</v>
      </c>
      <c r="I536" s="30" t="n">
        <v>3</v>
      </c>
      <c r="J536" s="30"/>
      <c r="K536" s="30" t="n">
        <v>65</v>
      </c>
      <c r="L536" s="30"/>
      <c r="M536" s="30" t="s">
        <v>1015</v>
      </c>
      <c r="N536" s="30" t="s">
        <v>53</v>
      </c>
      <c r="O536" s="30"/>
      <c r="P536" s="30"/>
      <c r="Q536" s="30"/>
      <c r="R536" s="30"/>
      <c r="S536" s="30"/>
      <c r="T536" s="30"/>
      <c r="U536" s="30" t="n">
        <v>1662.29</v>
      </c>
      <c r="V536" s="30" t="n">
        <v>1662.29</v>
      </c>
      <c r="W536" s="30" t="n">
        <v>231.75</v>
      </c>
      <c r="X536" s="30" t="s">
        <v>1006</v>
      </c>
      <c r="Y536" s="30" t="n">
        <v>203.02</v>
      </c>
      <c r="Z536" s="30" t="s">
        <v>1006</v>
      </c>
      <c r="AA536" s="30" t="n">
        <v>202.74</v>
      </c>
      <c r="AB536" s="30" t="s">
        <v>1006</v>
      </c>
      <c r="AC536" s="30" t="n">
        <v>200.82</v>
      </c>
      <c r="AD536" s="30" t="s">
        <v>1006</v>
      </c>
      <c r="AE536" s="30" t="n">
        <v>103.5</v>
      </c>
      <c r="AF536" s="30" t="s">
        <v>1006</v>
      </c>
      <c r="AG536" s="30" t="n">
        <v>0</v>
      </c>
      <c r="AH536" s="30" t="s">
        <v>1006</v>
      </c>
      <c r="AI536" s="30" t="n">
        <v>24.43</v>
      </c>
      <c r="AJ536" s="30" t="s">
        <v>1006</v>
      </c>
      <c r="AK536" s="30" t="n">
        <v>34.04</v>
      </c>
      <c r="AL536" s="30" t="s">
        <v>1006</v>
      </c>
      <c r="AM536" s="30" t="n">
        <v>77.09</v>
      </c>
      <c r="AN536" s="30" t="s">
        <v>1006</v>
      </c>
      <c r="AO536" s="30" t="n">
        <v>188.27</v>
      </c>
      <c r="AP536" s="30" t="s">
        <v>1006</v>
      </c>
      <c r="AQ536" s="30" t="n">
        <v>131.96</v>
      </c>
      <c r="AR536" s="30" t="s">
        <v>1005</v>
      </c>
      <c r="AS536" s="30" t="n">
        <v>154.43</v>
      </c>
      <c r="AT536" s="30" t="s">
        <v>1005</v>
      </c>
      <c r="AU536" s="30" t="n">
        <v>1552.05</v>
      </c>
      <c r="AV536" s="30" t="n">
        <v>0.596</v>
      </c>
      <c r="AW536" s="30" t="s">
        <v>1016</v>
      </c>
      <c r="AX536" s="30" t="s">
        <v>1008</v>
      </c>
      <c r="AY536" s="30" t="n">
        <v>3</v>
      </c>
      <c r="AZ536" s="30"/>
    </row>
    <row collapsed="false" customFormat="true" customHeight="true" hidden="false" ht="33" outlineLevel="0" r="537" s="73">
      <c r="A537" s="30" t="n">
        <v>584</v>
      </c>
      <c r="B537" s="30" t="s">
        <v>808</v>
      </c>
      <c r="C537" s="30" t="s">
        <v>1009</v>
      </c>
      <c r="D537" s="30" t="s">
        <v>999</v>
      </c>
      <c r="E537" s="30" t="s">
        <v>1010</v>
      </c>
      <c r="F537" s="30" t="s">
        <v>1011</v>
      </c>
      <c r="G537" s="30" t="s">
        <v>1002</v>
      </c>
      <c r="H537" s="30" t="s">
        <v>1003</v>
      </c>
      <c r="I537" s="30" t="n">
        <v>1</v>
      </c>
      <c r="J537" s="30"/>
      <c r="K537" s="30" t="n">
        <v>65</v>
      </c>
      <c r="L537" s="30"/>
      <c r="M537" s="30" t="s">
        <v>1015</v>
      </c>
      <c r="N537" s="30" t="s">
        <v>53</v>
      </c>
      <c r="O537" s="30"/>
      <c r="P537" s="30"/>
      <c r="Q537" s="30"/>
      <c r="R537" s="30"/>
      <c r="S537" s="30"/>
      <c r="T537" s="30"/>
      <c r="U537" s="30" t="n">
        <v>904.85</v>
      </c>
      <c r="V537" s="30" t="n">
        <v>904.85</v>
      </c>
      <c r="W537" s="30" t="n">
        <v>126.9</v>
      </c>
      <c r="X537" s="30" t="s">
        <v>1006</v>
      </c>
      <c r="Y537" s="30" t="n">
        <v>110.69</v>
      </c>
      <c r="Z537" s="30" t="s">
        <v>1006</v>
      </c>
      <c r="AA537" s="30" t="n">
        <v>108.71</v>
      </c>
      <c r="AB537" s="30" t="s">
        <v>1006</v>
      </c>
      <c r="AC537" s="30" t="n">
        <v>109.26</v>
      </c>
      <c r="AD537" s="30" t="s">
        <v>1006</v>
      </c>
      <c r="AE537" s="30" t="n">
        <v>55.9</v>
      </c>
      <c r="AF537" s="30" t="s">
        <v>1006</v>
      </c>
      <c r="AG537" s="30" t="n">
        <v>0</v>
      </c>
      <c r="AH537" s="30" t="s">
        <v>1006</v>
      </c>
      <c r="AI537" s="30" t="n">
        <v>17.71</v>
      </c>
      <c r="AJ537" s="30" t="s">
        <v>1006</v>
      </c>
      <c r="AK537" s="30" t="n">
        <v>20.93</v>
      </c>
      <c r="AL537" s="30" t="s">
        <v>1006</v>
      </c>
      <c r="AM537" s="30" t="n">
        <v>36.26</v>
      </c>
      <c r="AN537" s="30" t="s">
        <v>1006</v>
      </c>
      <c r="AO537" s="30" t="n">
        <v>102.77</v>
      </c>
      <c r="AP537" s="30" t="s">
        <v>1006</v>
      </c>
      <c r="AQ537" s="30" t="n">
        <v>102.54</v>
      </c>
      <c r="AR537" s="30" t="s">
        <v>1006</v>
      </c>
      <c r="AS537" s="30" t="n">
        <v>73.87</v>
      </c>
      <c r="AT537" s="30" t="s">
        <v>1005</v>
      </c>
      <c r="AU537" s="30" t="n">
        <v>865.54</v>
      </c>
      <c r="AV537" s="30" t="n">
        <v>0.333</v>
      </c>
      <c r="AW537" s="30" t="s">
        <v>1016</v>
      </c>
      <c r="AX537" s="30" t="s">
        <v>1008</v>
      </c>
      <c r="AY537" s="30" t="n">
        <v>1</v>
      </c>
      <c r="AZ537" s="30"/>
    </row>
    <row collapsed="false" customFormat="true" customHeight="true" hidden="false" ht="33" outlineLevel="0" r="538" s="73">
      <c r="A538" s="30" t="n">
        <v>585</v>
      </c>
      <c r="B538" s="30" t="s">
        <v>809</v>
      </c>
      <c r="C538" s="30" t="s">
        <v>1009</v>
      </c>
      <c r="D538" s="30" t="s">
        <v>999</v>
      </c>
      <c r="E538" s="30" t="s">
        <v>1010</v>
      </c>
      <c r="F538" s="30" t="s">
        <v>1011</v>
      </c>
      <c r="G538" s="30" t="s">
        <v>1002</v>
      </c>
      <c r="H538" s="30" t="s">
        <v>1003</v>
      </c>
      <c r="I538" s="30" t="n">
        <v>2</v>
      </c>
      <c r="J538" s="30"/>
      <c r="K538" s="30" t="n">
        <v>65</v>
      </c>
      <c r="L538" s="30"/>
      <c r="M538" s="30" t="s">
        <v>1015</v>
      </c>
      <c r="N538" s="30" t="s">
        <v>53</v>
      </c>
      <c r="O538" s="30"/>
      <c r="P538" s="30"/>
      <c r="Q538" s="30"/>
      <c r="R538" s="30"/>
      <c r="S538" s="30"/>
      <c r="T538" s="30"/>
      <c r="U538" s="30" t="n">
        <v>1561.4</v>
      </c>
      <c r="V538" s="30" t="n">
        <v>1561.4</v>
      </c>
      <c r="W538" s="30" t="n">
        <v>229.81</v>
      </c>
      <c r="X538" s="30" t="s">
        <v>1006</v>
      </c>
      <c r="Y538" s="30" t="n">
        <v>200.58</v>
      </c>
      <c r="Z538" s="30" t="s">
        <v>1006</v>
      </c>
      <c r="AA538" s="30" t="n">
        <v>203.72</v>
      </c>
      <c r="AB538" s="30" t="s">
        <v>1006</v>
      </c>
      <c r="AC538" s="30" t="n">
        <v>203.39</v>
      </c>
      <c r="AD538" s="30" t="s">
        <v>1006</v>
      </c>
      <c r="AE538" s="30" t="n">
        <v>105.91</v>
      </c>
      <c r="AF538" s="30" t="s">
        <v>1006</v>
      </c>
      <c r="AG538" s="30" t="n">
        <v>0</v>
      </c>
      <c r="AH538" s="30" t="s">
        <v>1006</v>
      </c>
      <c r="AI538" s="30" t="n">
        <v>28.87</v>
      </c>
      <c r="AJ538" s="30" t="s">
        <v>1006</v>
      </c>
      <c r="AK538" s="30" t="n">
        <v>37.96</v>
      </c>
      <c r="AL538" s="30" t="s">
        <v>1006</v>
      </c>
      <c r="AM538" s="30" t="n">
        <v>65.18</v>
      </c>
      <c r="AN538" s="30" t="s">
        <v>1006</v>
      </c>
      <c r="AO538" s="30" t="n">
        <v>193.47</v>
      </c>
      <c r="AP538" s="30" t="s">
        <v>1006</v>
      </c>
      <c r="AQ538" s="30" t="n">
        <v>189.31</v>
      </c>
      <c r="AR538" s="30" t="s">
        <v>1006</v>
      </c>
      <c r="AS538" s="30" t="n">
        <v>145.21</v>
      </c>
      <c r="AT538" s="30" t="s">
        <v>1005</v>
      </c>
      <c r="AU538" s="30" t="n">
        <v>1603.41</v>
      </c>
      <c r="AV538" s="30" t="n">
        <v>0.543</v>
      </c>
      <c r="AW538" s="30" t="s">
        <v>1016</v>
      </c>
      <c r="AX538" s="30" t="s">
        <v>1008</v>
      </c>
      <c r="AY538" s="30" t="n">
        <v>2</v>
      </c>
      <c r="AZ538" s="30"/>
    </row>
    <row collapsed="false" customFormat="true" customHeight="true" hidden="false" ht="33" outlineLevel="0" r="539" s="73">
      <c r="A539" s="30" t="n">
        <v>586</v>
      </c>
      <c r="B539" s="30" t="s">
        <v>811</v>
      </c>
      <c r="C539" s="30" t="s">
        <v>1009</v>
      </c>
      <c r="D539" s="30" t="s">
        <v>999</v>
      </c>
      <c r="E539" s="30" t="s">
        <v>1010</v>
      </c>
      <c r="F539" s="30" t="s">
        <v>1011</v>
      </c>
      <c r="G539" s="30" t="s">
        <v>1002</v>
      </c>
      <c r="H539" s="30" t="s">
        <v>1003</v>
      </c>
      <c r="I539" s="30" t="n">
        <v>1</v>
      </c>
      <c r="J539" s="30"/>
      <c r="K539" s="30" t="n">
        <v>65</v>
      </c>
      <c r="L539" s="30"/>
      <c r="M539" s="30" t="s">
        <v>1015</v>
      </c>
      <c r="N539" s="30" t="s">
        <v>53</v>
      </c>
      <c r="O539" s="30"/>
      <c r="P539" s="30"/>
      <c r="Q539" s="30"/>
      <c r="R539" s="30"/>
      <c r="S539" s="30"/>
      <c r="T539" s="30"/>
      <c r="U539" s="30" t="n">
        <v>926.36</v>
      </c>
      <c r="V539" s="30" t="n">
        <v>926.36</v>
      </c>
      <c r="W539" s="30" t="n">
        <v>122.64</v>
      </c>
      <c r="X539" s="30" t="s">
        <v>1006</v>
      </c>
      <c r="Y539" s="30" t="n">
        <v>108.45</v>
      </c>
      <c r="Z539" s="30" t="s">
        <v>1006</v>
      </c>
      <c r="AA539" s="30" t="n">
        <v>108.35</v>
      </c>
      <c r="AB539" s="30" t="s">
        <v>1006</v>
      </c>
      <c r="AC539" s="30" t="n">
        <v>109.57</v>
      </c>
      <c r="AD539" s="30" t="s">
        <v>1006</v>
      </c>
      <c r="AE539" s="30" t="n">
        <v>53.36</v>
      </c>
      <c r="AF539" s="30" t="s">
        <v>1006</v>
      </c>
      <c r="AG539" s="30" t="n">
        <v>0</v>
      </c>
      <c r="AH539" s="30" t="s">
        <v>1006</v>
      </c>
      <c r="AI539" s="30" t="n">
        <v>18.2</v>
      </c>
      <c r="AJ539" s="30" t="s">
        <v>1006</v>
      </c>
      <c r="AK539" s="30" t="n">
        <v>22.6</v>
      </c>
      <c r="AL539" s="30" t="s">
        <v>1006</v>
      </c>
      <c r="AM539" s="30" t="n">
        <v>34.94</v>
      </c>
      <c r="AN539" s="30" t="s">
        <v>1006</v>
      </c>
      <c r="AO539" s="30" t="n">
        <v>103.1</v>
      </c>
      <c r="AP539" s="30" t="s">
        <v>1006</v>
      </c>
      <c r="AQ539" s="30" t="n">
        <v>101.45</v>
      </c>
      <c r="AR539" s="30" t="s">
        <v>1006</v>
      </c>
      <c r="AS539" s="30" t="n">
        <v>82.43</v>
      </c>
      <c r="AT539" s="30" t="s">
        <v>1005</v>
      </c>
      <c r="AU539" s="30" t="n">
        <v>865.09</v>
      </c>
      <c r="AV539" s="30" t="n">
        <v>0.364</v>
      </c>
      <c r="AW539" s="30" t="s">
        <v>1016</v>
      </c>
      <c r="AX539" s="30" t="s">
        <v>1008</v>
      </c>
      <c r="AY539" s="30" t="n">
        <v>1</v>
      </c>
      <c r="AZ539" s="30"/>
    </row>
    <row collapsed="false" customFormat="true" customHeight="true" hidden="false" ht="33" outlineLevel="0" r="540" s="73">
      <c r="A540" s="30" t="n">
        <v>587</v>
      </c>
      <c r="B540" s="30" t="s">
        <v>812</v>
      </c>
      <c r="C540" s="30" t="s">
        <v>1009</v>
      </c>
      <c r="D540" s="30" t="s">
        <v>999</v>
      </c>
      <c r="E540" s="30" t="s">
        <v>1010</v>
      </c>
      <c r="F540" s="30" t="s">
        <v>1011</v>
      </c>
      <c r="G540" s="30" t="s">
        <v>1002</v>
      </c>
      <c r="H540" s="30" t="s">
        <v>1003</v>
      </c>
      <c r="I540" s="30" t="n">
        <v>3</v>
      </c>
      <c r="J540" s="30"/>
      <c r="K540" s="30" t="n">
        <v>65</v>
      </c>
      <c r="L540" s="30"/>
      <c r="M540" s="30" t="s">
        <v>1015</v>
      </c>
      <c r="N540" s="30" t="s">
        <v>53</v>
      </c>
      <c r="O540" s="30"/>
      <c r="P540" s="30"/>
      <c r="Q540" s="30"/>
      <c r="R540" s="30"/>
      <c r="S540" s="30"/>
      <c r="T540" s="30"/>
      <c r="U540" s="30" t="n">
        <v>1311.95</v>
      </c>
      <c r="V540" s="30" t="n">
        <v>1311.95</v>
      </c>
      <c r="W540" s="30" t="n">
        <v>208.72</v>
      </c>
      <c r="X540" s="30" t="s">
        <v>1006</v>
      </c>
      <c r="Y540" s="30" t="n">
        <v>152.92</v>
      </c>
      <c r="Z540" s="30" t="s">
        <v>1006</v>
      </c>
      <c r="AA540" s="30" t="n">
        <v>184.65</v>
      </c>
      <c r="AB540" s="30" t="s">
        <v>1006</v>
      </c>
      <c r="AC540" s="30" t="n">
        <v>188.36</v>
      </c>
      <c r="AD540" s="30" t="s">
        <v>1006</v>
      </c>
      <c r="AE540" s="30" t="n">
        <v>91.81</v>
      </c>
      <c r="AF540" s="30" t="s">
        <v>1006</v>
      </c>
      <c r="AG540" s="30" t="n">
        <v>0</v>
      </c>
      <c r="AH540" s="30" t="s">
        <v>1006</v>
      </c>
      <c r="AI540" s="30" t="n">
        <v>21.53</v>
      </c>
      <c r="AJ540" s="30" t="s">
        <v>1006</v>
      </c>
      <c r="AK540" s="30" t="n">
        <v>33.48</v>
      </c>
      <c r="AL540" s="30" t="s">
        <v>1006</v>
      </c>
      <c r="AM540" s="30" t="n">
        <v>57.6</v>
      </c>
      <c r="AN540" s="30" t="s">
        <v>1006</v>
      </c>
      <c r="AO540" s="30" t="n">
        <v>172.94</v>
      </c>
      <c r="AP540" s="30" t="s">
        <v>1006</v>
      </c>
      <c r="AQ540" s="30" t="n">
        <v>172.04</v>
      </c>
      <c r="AR540" s="30" t="s">
        <v>1006</v>
      </c>
      <c r="AS540" s="30" t="n">
        <v>121.85</v>
      </c>
      <c r="AT540" s="30" t="s">
        <v>1005</v>
      </c>
      <c r="AU540" s="30" t="n">
        <v>1405.9</v>
      </c>
      <c r="AV540" s="30" t="n">
        <v>0.63</v>
      </c>
      <c r="AW540" s="30" t="s">
        <v>1016</v>
      </c>
      <c r="AX540" s="30" t="s">
        <v>1008</v>
      </c>
      <c r="AY540" s="30" t="n">
        <v>3</v>
      </c>
      <c r="AZ540" s="30"/>
    </row>
    <row collapsed="false" customFormat="true" customHeight="true" hidden="false" ht="33" outlineLevel="0" r="541" s="73">
      <c r="A541" s="30" t="n">
        <v>588</v>
      </c>
      <c r="B541" s="30" t="s">
        <v>813</v>
      </c>
      <c r="C541" s="30" t="s">
        <v>1009</v>
      </c>
      <c r="D541" s="30" t="s">
        <v>999</v>
      </c>
      <c r="E541" s="30" t="s">
        <v>1010</v>
      </c>
      <c r="F541" s="30" t="s">
        <v>1011</v>
      </c>
      <c r="G541" s="30" t="s">
        <v>1002</v>
      </c>
      <c r="H541" s="30" t="s">
        <v>1003</v>
      </c>
      <c r="I541" s="30" t="n">
        <v>2</v>
      </c>
      <c r="J541" s="30"/>
      <c r="K541" s="30" t="n">
        <v>65</v>
      </c>
      <c r="L541" s="30"/>
      <c r="M541" s="30" t="s">
        <v>1015</v>
      </c>
      <c r="N541" s="30" t="s">
        <v>53</v>
      </c>
      <c r="O541" s="30"/>
      <c r="P541" s="30"/>
      <c r="Q541" s="30"/>
      <c r="R541" s="30"/>
      <c r="S541" s="30"/>
      <c r="T541" s="30"/>
      <c r="U541" s="30" t="n">
        <v>1416.32</v>
      </c>
      <c r="V541" s="30" t="n">
        <v>1416.32</v>
      </c>
      <c r="W541" s="30" t="n">
        <v>300.92</v>
      </c>
      <c r="X541" s="30" t="s">
        <v>1005</v>
      </c>
      <c r="Y541" s="30" t="n">
        <v>262.76</v>
      </c>
      <c r="Z541" s="30" t="s">
        <v>1005</v>
      </c>
      <c r="AA541" s="30" t="n">
        <v>275.36</v>
      </c>
      <c r="AB541" s="30" t="s">
        <v>1005</v>
      </c>
      <c r="AC541" s="30" t="n">
        <v>142.84</v>
      </c>
      <c r="AD541" s="30" t="s">
        <v>1005</v>
      </c>
      <c r="AE541" s="30" t="n">
        <v>126.56</v>
      </c>
      <c r="AF541" s="30" t="s">
        <v>1005</v>
      </c>
      <c r="AG541" s="30" t="n">
        <v>0</v>
      </c>
      <c r="AH541" s="30" t="s">
        <v>1005</v>
      </c>
      <c r="AI541" s="30" t="n">
        <v>34.55</v>
      </c>
      <c r="AJ541" s="30" t="s">
        <v>1005</v>
      </c>
      <c r="AK541" s="30" t="n">
        <v>45.5</v>
      </c>
      <c r="AL541" s="30" t="s">
        <v>1005</v>
      </c>
      <c r="AM541" s="30" t="n">
        <v>68.97</v>
      </c>
      <c r="AN541" s="30" t="s">
        <v>1005</v>
      </c>
      <c r="AO541" s="30" t="n">
        <v>157.22</v>
      </c>
      <c r="AP541" s="30" t="s">
        <v>1005</v>
      </c>
      <c r="AQ541" s="30" t="n">
        <v>165.34</v>
      </c>
      <c r="AR541" s="30" t="s">
        <v>1005</v>
      </c>
      <c r="AS541" s="30" t="n">
        <v>195.07</v>
      </c>
      <c r="AT541" s="30" t="s">
        <v>1005</v>
      </c>
      <c r="AU541" s="30" t="n">
        <v>1775.09</v>
      </c>
      <c r="AV541" s="30" t="n">
        <v>0.534</v>
      </c>
      <c r="AW541" s="30" t="s">
        <v>1016</v>
      </c>
      <c r="AX541" s="30" t="s">
        <v>1008</v>
      </c>
      <c r="AY541" s="30" t="n">
        <v>2</v>
      </c>
      <c r="AZ541" s="30"/>
    </row>
    <row collapsed="false" customFormat="true" customHeight="true" hidden="false" ht="33" outlineLevel="0" r="542" s="73">
      <c r="A542" s="30" t="n">
        <v>589</v>
      </c>
      <c r="B542" s="30" t="s">
        <v>815</v>
      </c>
      <c r="C542" s="30" t="s">
        <v>1009</v>
      </c>
      <c r="D542" s="30" t="s">
        <v>999</v>
      </c>
      <c r="E542" s="30" t="s">
        <v>1010</v>
      </c>
      <c r="F542" s="30" t="s">
        <v>1011</v>
      </c>
      <c r="G542" s="30" t="s">
        <v>1002</v>
      </c>
      <c r="H542" s="30" t="s">
        <v>1003</v>
      </c>
      <c r="I542" s="30" t="n">
        <v>2</v>
      </c>
      <c r="J542" s="30"/>
      <c r="K542" s="30" t="n">
        <v>76</v>
      </c>
      <c r="L542" s="30"/>
      <c r="M542" s="30" t="s">
        <v>1015</v>
      </c>
      <c r="N542" s="30" t="s">
        <v>53</v>
      </c>
      <c r="O542" s="30"/>
      <c r="P542" s="30"/>
      <c r="Q542" s="30"/>
      <c r="R542" s="30"/>
      <c r="S542" s="30"/>
      <c r="T542" s="30"/>
      <c r="U542" s="30" t="n">
        <v>772.98</v>
      </c>
      <c r="V542" s="30" t="n">
        <v>772.98</v>
      </c>
      <c r="W542" s="30" t="n">
        <v>115.48</v>
      </c>
      <c r="X542" s="30" t="s">
        <v>1005</v>
      </c>
      <c r="Y542" s="30" t="n">
        <v>113.03</v>
      </c>
      <c r="Z542" s="30" t="s">
        <v>1005</v>
      </c>
      <c r="AA542" s="30" t="n">
        <v>117.66</v>
      </c>
      <c r="AB542" s="30" t="s">
        <v>1005</v>
      </c>
      <c r="AC542" s="30" t="n">
        <v>111.78</v>
      </c>
      <c r="AD542" s="30" t="s">
        <v>1005</v>
      </c>
      <c r="AE542" s="30" t="n">
        <v>48.95</v>
      </c>
      <c r="AF542" s="30" t="s">
        <v>1005</v>
      </c>
      <c r="AG542" s="30" t="n">
        <v>0</v>
      </c>
      <c r="AH542" s="30" t="s">
        <v>1005</v>
      </c>
      <c r="AI542" s="30" t="n">
        <v>13.97</v>
      </c>
      <c r="AJ542" s="30" t="s">
        <v>1005</v>
      </c>
      <c r="AK542" s="30" t="n">
        <v>17.19</v>
      </c>
      <c r="AL542" s="30" t="s">
        <v>1005</v>
      </c>
      <c r="AM542" s="30" t="n">
        <v>25.68</v>
      </c>
      <c r="AN542" s="30" t="s">
        <v>1005</v>
      </c>
      <c r="AO542" s="30" t="n">
        <v>63.41</v>
      </c>
      <c r="AP542" s="30" t="s">
        <v>1005</v>
      </c>
      <c r="AQ542" s="30" t="n">
        <v>75.95</v>
      </c>
      <c r="AR542" s="30" t="s">
        <v>1005</v>
      </c>
      <c r="AS542" s="30" t="n">
        <v>93.15</v>
      </c>
      <c r="AT542" s="30" t="s">
        <v>1005</v>
      </c>
      <c r="AU542" s="30" t="n">
        <v>796.25</v>
      </c>
      <c r="AV542" s="30" t="n">
        <v>0.266</v>
      </c>
      <c r="AW542" s="30" t="s">
        <v>1016</v>
      </c>
      <c r="AX542" s="30" t="s">
        <v>1008</v>
      </c>
      <c r="AY542" s="30" t="n">
        <v>1</v>
      </c>
      <c r="AZ542" s="30"/>
    </row>
    <row collapsed="false" customFormat="true" customHeight="true" hidden="false" ht="33" outlineLevel="0" r="543" s="73">
      <c r="A543" s="30" t="n">
        <v>590</v>
      </c>
      <c r="B543" s="30" t="s">
        <v>816</v>
      </c>
      <c r="C543" s="30" t="s">
        <v>1009</v>
      </c>
      <c r="D543" s="30" t="s">
        <v>999</v>
      </c>
      <c r="E543" s="30" t="s">
        <v>1010</v>
      </c>
      <c r="F543" s="30" t="s">
        <v>1011</v>
      </c>
      <c r="G543" s="30" t="s">
        <v>1002</v>
      </c>
      <c r="H543" s="30" t="s">
        <v>1003</v>
      </c>
      <c r="I543" s="30" t="n">
        <v>2</v>
      </c>
      <c r="J543" s="30"/>
      <c r="K543" s="30" t="n">
        <v>76</v>
      </c>
      <c r="L543" s="30"/>
      <c r="M543" s="30" t="s">
        <v>1015</v>
      </c>
      <c r="N543" s="30" t="s">
        <v>53</v>
      </c>
      <c r="O543" s="30"/>
      <c r="P543" s="30"/>
      <c r="Q543" s="30"/>
      <c r="R543" s="30"/>
      <c r="S543" s="30"/>
      <c r="T543" s="30"/>
      <c r="U543" s="30" t="n">
        <v>839.27</v>
      </c>
      <c r="V543" s="30" t="n">
        <v>839.27</v>
      </c>
      <c r="W543" s="30" t="n">
        <v>123.85</v>
      </c>
      <c r="X543" s="30" t="s">
        <v>1005</v>
      </c>
      <c r="Y543" s="30" t="n">
        <v>114.46</v>
      </c>
      <c r="Z543" s="30" t="s">
        <v>1005</v>
      </c>
      <c r="AA543" s="30" t="n">
        <v>117.76</v>
      </c>
      <c r="AB543" s="30" t="s">
        <v>1005</v>
      </c>
      <c r="AC543" s="30" t="n">
        <v>112.53</v>
      </c>
      <c r="AD543" s="30" t="s">
        <v>1005</v>
      </c>
      <c r="AE543" s="30" t="n">
        <v>47.36</v>
      </c>
      <c r="AF543" s="30" t="s">
        <v>1005</v>
      </c>
      <c r="AG543" s="30" t="n">
        <v>0</v>
      </c>
      <c r="AH543" s="30" t="s">
        <v>1005</v>
      </c>
      <c r="AI543" s="30" t="n">
        <v>12.52</v>
      </c>
      <c r="AJ543" s="30" t="s">
        <v>1005</v>
      </c>
      <c r="AK543" s="30" t="n">
        <v>17.71</v>
      </c>
      <c r="AL543" s="30" t="s">
        <v>1005</v>
      </c>
      <c r="AM543" s="30" t="n">
        <v>27.83</v>
      </c>
      <c r="AN543" s="30" t="s">
        <v>1005</v>
      </c>
      <c r="AO543" s="30" t="n">
        <v>79.4</v>
      </c>
      <c r="AP543" s="30" t="s">
        <v>1005</v>
      </c>
      <c r="AQ543" s="30" t="n">
        <v>85.94</v>
      </c>
      <c r="AR543" s="30" t="s">
        <v>1005</v>
      </c>
      <c r="AS543" s="30" t="n">
        <v>109.13</v>
      </c>
      <c r="AT543" s="30" t="s">
        <v>1005</v>
      </c>
      <c r="AU543" s="30" t="n">
        <v>848.49</v>
      </c>
      <c r="AV543" s="30" t="n">
        <v>0.321609</v>
      </c>
      <c r="AW543" s="30" t="s">
        <v>1016</v>
      </c>
      <c r="AX543" s="30" t="s">
        <v>1008</v>
      </c>
      <c r="AY543" s="30" t="n">
        <v>1</v>
      </c>
      <c r="AZ543" s="30"/>
    </row>
    <row collapsed="false" customFormat="true" customHeight="true" hidden="false" ht="33" outlineLevel="0" r="544" s="73">
      <c r="A544" s="30" t="n">
        <v>591</v>
      </c>
      <c r="B544" s="30" t="s">
        <v>817</v>
      </c>
      <c r="C544" s="30" t="s">
        <v>1009</v>
      </c>
      <c r="D544" s="30" t="s">
        <v>999</v>
      </c>
      <c r="E544" s="30" t="s">
        <v>1010</v>
      </c>
      <c r="F544" s="30" t="s">
        <v>1011</v>
      </c>
      <c r="G544" s="30" t="s">
        <v>1002</v>
      </c>
      <c r="H544" s="30" t="s">
        <v>1003</v>
      </c>
      <c r="I544" s="30" t="n">
        <v>2</v>
      </c>
      <c r="J544" s="30"/>
      <c r="K544" s="30" t="n">
        <v>76</v>
      </c>
      <c r="L544" s="30"/>
      <c r="M544" s="30" t="s">
        <v>1015</v>
      </c>
      <c r="N544" s="30" t="s">
        <v>53</v>
      </c>
      <c r="O544" s="30"/>
      <c r="P544" s="30"/>
      <c r="Q544" s="30"/>
      <c r="R544" s="30"/>
      <c r="S544" s="30"/>
      <c r="T544" s="30"/>
      <c r="U544" s="30" t="n">
        <v>785.83</v>
      </c>
      <c r="V544" s="30" t="n">
        <v>785.83</v>
      </c>
      <c r="W544" s="30" t="n">
        <v>179.34</v>
      </c>
      <c r="X544" s="30" t="s">
        <v>1005</v>
      </c>
      <c r="Y544" s="30" t="n">
        <v>127.67</v>
      </c>
      <c r="Z544" s="30" t="s">
        <v>1005</v>
      </c>
      <c r="AA544" s="30" t="n">
        <v>114.6</v>
      </c>
      <c r="AB544" s="30" t="s">
        <v>1005</v>
      </c>
      <c r="AC544" s="30" t="n">
        <v>73.81</v>
      </c>
      <c r="AD544" s="30" t="s">
        <v>1005</v>
      </c>
      <c r="AE544" s="30" t="n">
        <v>41.23</v>
      </c>
      <c r="AF544" s="30" t="s">
        <v>1005</v>
      </c>
      <c r="AG544" s="30" t="n">
        <v>0</v>
      </c>
      <c r="AH544" s="30" t="s">
        <v>1005</v>
      </c>
      <c r="AI544" s="30" t="n">
        <v>13.71</v>
      </c>
      <c r="AJ544" s="30" t="s">
        <v>1005</v>
      </c>
      <c r="AK544" s="30" t="n">
        <v>16.65</v>
      </c>
      <c r="AL544" s="30" t="s">
        <v>1005</v>
      </c>
      <c r="AM544" s="30" t="n">
        <v>25.96</v>
      </c>
      <c r="AN544" s="30" t="s">
        <v>1005</v>
      </c>
      <c r="AO544" s="30" t="n">
        <v>100.58</v>
      </c>
      <c r="AP544" s="30" t="s">
        <v>1005</v>
      </c>
      <c r="AQ544" s="30" t="n">
        <v>63.6</v>
      </c>
      <c r="AR544" s="30" t="s">
        <v>1005</v>
      </c>
      <c r="AS544" s="30" t="n">
        <v>95.97</v>
      </c>
      <c r="AT544" s="30" t="s">
        <v>1005</v>
      </c>
      <c r="AU544" s="30" t="n">
        <v>853.12</v>
      </c>
      <c r="AV544" s="30" t="n">
        <v>0.29327</v>
      </c>
      <c r="AW544" s="30" t="s">
        <v>1016</v>
      </c>
      <c r="AX544" s="30" t="s">
        <v>1008</v>
      </c>
      <c r="AY544" s="30" t="n">
        <v>1</v>
      </c>
      <c r="AZ544" s="30"/>
    </row>
    <row collapsed="false" customFormat="true" customHeight="true" hidden="false" ht="33" outlineLevel="0" r="545" s="73">
      <c r="A545" s="30" t="n">
        <v>592</v>
      </c>
      <c r="B545" s="30" t="s">
        <v>818</v>
      </c>
      <c r="C545" s="30" t="s">
        <v>1009</v>
      </c>
      <c r="D545" s="30" t="s">
        <v>999</v>
      </c>
      <c r="E545" s="30" t="s">
        <v>1010</v>
      </c>
      <c r="F545" s="30" t="s">
        <v>1011</v>
      </c>
      <c r="G545" s="30" t="s">
        <v>1002</v>
      </c>
      <c r="H545" s="30" t="s">
        <v>1003</v>
      </c>
      <c r="I545" s="30" t="n">
        <v>2</v>
      </c>
      <c r="J545" s="30"/>
      <c r="K545" s="30" t="n">
        <v>65</v>
      </c>
      <c r="L545" s="30"/>
      <c r="M545" s="30" t="s">
        <v>1015</v>
      </c>
      <c r="N545" s="30" t="s">
        <v>53</v>
      </c>
      <c r="O545" s="30"/>
      <c r="P545" s="30"/>
      <c r="Q545" s="30"/>
      <c r="R545" s="30"/>
      <c r="S545" s="30"/>
      <c r="T545" s="30"/>
      <c r="U545" s="30" t="n">
        <v>752.06</v>
      </c>
      <c r="V545" s="30" t="n">
        <v>752.06</v>
      </c>
      <c r="W545" s="30" t="n">
        <v>142.35</v>
      </c>
      <c r="X545" s="30" t="s">
        <v>1005</v>
      </c>
      <c r="Y545" s="30" t="n">
        <v>122.96</v>
      </c>
      <c r="Z545" s="30" t="s">
        <v>1005</v>
      </c>
      <c r="AA545" s="30" t="n">
        <v>115.26</v>
      </c>
      <c r="AB545" s="30" t="s">
        <v>1005</v>
      </c>
      <c r="AC545" s="30" t="n">
        <v>77.15</v>
      </c>
      <c r="AD545" s="30" t="s">
        <v>1005</v>
      </c>
      <c r="AE545" s="30" t="n">
        <v>45.55</v>
      </c>
      <c r="AF545" s="30" t="s">
        <v>1005</v>
      </c>
      <c r="AG545" s="30" t="n">
        <v>0</v>
      </c>
      <c r="AH545" s="30" t="s">
        <v>1005</v>
      </c>
      <c r="AI545" s="30" t="n">
        <v>13.38</v>
      </c>
      <c r="AJ545" s="30" t="s">
        <v>1005</v>
      </c>
      <c r="AK545" s="30" t="n">
        <v>19.03</v>
      </c>
      <c r="AL545" s="30" t="s">
        <v>1005</v>
      </c>
      <c r="AM545" s="30" t="n">
        <v>27.63</v>
      </c>
      <c r="AN545" s="30" t="s">
        <v>1005</v>
      </c>
      <c r="AO545" s="30" t="n">
        <v>102.96</v>
      </c>
      <c r="AP545" s="30" t="s">
        <v>1005</v>
      </c>
      <c r="AQ545" s="30" t="n">
        <v>75.58</v>
      </c>
      <c r="AR545" s="30" t="s">
        <v>1005</v>
      </c>
      <c r="AS545" s="30" t="n">
        <v>101.6</v>
      </c>
      <c r="AT545" s="30" t="s">
        <v>1005</v>
      </c>
      <c r="AU545" s="30" t="n">
        <v>843.45</v>
      </c>
      <c r="AV545" s="30" t="n">
        <v>0.31182</v>
      </c>
      <c r="AW545" s="30" t="s">
        <v>1016</v>
      </c>
      <c r="AX545" s="30" t="s">
        <v>1008</v>
      </c>
      <c r="AY545" s="30" t="n">
        <v>1</v>
      </c>
      <c r="AZ545" s="30"/>
    </row>
    <row collapsed="false" customFormat="true" customHeight="true" hidden="false" ht="33" outlineLevel="0" r="546" s="73">
      <c r="A546" s="30" t="n">
        <v>593</v>
      </c>
      <c r="B546" s="30" t="s">
        <v>819</v>
      </c>
      <c r="C546" s="30" t="s">
        <v>1009</v>
      </c>
      <c r="D546" s="30" t="s">
        <v>999</v>
      </c>
      <c r="E546" s="30" t="s">
        <v>1010</v>
      </c>
      <c r="F546" s="30" t="s">
        <v>1011</v>
      </c>
      <c r="G546" s="30" t="s">
        <v>1002</v>
      </c>
      <c r="H546" s="30" t="s">
        <v>1003</v>
      </c>
      <c r="I546" s="30" t="n">
        <v>2</v>
      </c>
      <c r="J546" s="30"/>
      <c r="K546" s="30" t="n">
        <v>65</v>
      </c>
      <c r="L546" s="30"/>
      <c r="M546" s="30" t="s">
        <v>1015</v>
      </c>
      <c r="N546" s="30" t="s">
        <v>53</v>
      </c>
      <c r="O546" s="30"/>
      <c r="P546" s="30"/>
      <c r="Q546" s="30"/>
      <c r="R546" s="30"/>
      <c r="S546" s="30"/>
      <c r="T546" s="30"/>
      <c r="U546" s="30" t="n">
        <v>1839.5</v>
      </c>
      <c r="V546" s="30" t="n">
        <v>1839</v>
      </c>
      <c r="W546" s="30" t="n">
        <v>369.11</v>
      </c>
      <c r="X546" s="30" t="s">
        <v>1005</v>
      </c>
      <c r="Y546" s="30" t="n">
        <v>267.16</v>
      </c>
      <c r="Z546" s="30" t="s">
        <v>1005</v>
      </c>
      <c r="AA546" s="30" t="n">
        <v>334.67</v>
      </c>
      <c r="AB546" s="30" t="s">
        <v>1005</v>
      </c>
      <c r="AC546" s="30" t="n">
        <v>168.33</v>
      </c>
      <c r="AD546" s="30" t="s">
        <v>1005</v>
      </c>
      <c r="AE546" s="30" t="n">
        <v>141.76</v>
      </c>
      <c r="AF546" s="30" t="s">
        <v>1005</v>
      </c>
      <c r="AG546" s="30" t="n">
        <v>0</v>
      </c>
      <c r="AH546" s="30" t="s">
        <v>1005</v>
      </c>
      <c r="AI546" s="30" t="n">
        <v>47.92</v>
      </c>
      <c r="AJ546" s="30" t="s">
        <v>1005</v>
      </c>
      <c r="AK546" s="30" t="n">
        <v>76.1</v>
      </c>
      <c r="AL546" s="30" t="s">
        <v>1005</v>
      </c>
      <c r="AM546" s="30" t="n">
        <v>66.31</v>
      </c>
      <c r="AN546" s="30" t="s">
        <v>1005</v>
      </c>
      <c r="AO546" s="30" t="n">
        <v>190.4</v>
      </c>
      <c r="AP546" s="30" t="s">
        <v>1005</v>
      </c>
      <c r="AQ546" s="30" t="n">
        <v>196.02</v>
      </c>
      <c r="AR546" s="30" t="s">
        <v>1005</v>
      </c>
      <c r="AS546" s="30" t="n">
        <v>239.25</v>
      </c>
      <c r="AT546" s="30" t="s">
        <v>1005</v>
      </c>
      <c r="AU546" s="30" t="n">
        <v>2097.03</v>
      </c>
      <c r="AV546" s="30" t="n">
        <v>0.609</v>
      </c>
      <c r="AW546" s="30" t="s">
        <v>1016</v>
      </c>
      <c r="AX546" s="30" t="s">
        <v>1008</v>
      </c>
      <c r="AY546" s="30" t="n">
        <v>2</v>
      </c>
      <c r="AZ546" s="30"/>
    </row>
    <row collapsed="false" customFormat="true" customHeight="true" hidden="false" ht="33" outlineLevel="0" r="547" s="73">
      <c r="A547" s="30" t="n">
        <v>594</v>
      </c>
      <c r="B547" s="30" t="s">
        <v>821</v>
      </c>
      <c r="C547" s="30" t="s">
        <v>1009</v>
      </c>
      <c r="D547" s="30" t="s">
        <v>999</v>
      </c>
      <c r="E547" s="30" t="s">
        <v>1010</v>
      </c>
      <c r="F547" s="30" t="s">
        <v>1011</v>
      </c>
      <c r="G547" s="30" t="s">
        <v>1002</v>
      </c>
      <c r="H547" s="30" t="s">
        <v>1003</v>
      </c>
      <c r="I547" s="30" t="n">
        <v>3</v>
      </c>
      <c r="J547" s="30"/>
      <c r="K547" s="30" t="n">
        <v>65</v>
      </c>
      <c r="L547" s="30"/>
      <c r="M547" s="30" t="s">
        <v>1015</v>
      </c>
      <c r="N547" s="30" t="s">
        <v>53</v>
      </c>
      <c r="O547" s="30"/>
      <c r="P547" s="30"/>
      <c r="Q547" s="30"/>
      <c r="R547" s="30"/>
      <c r="S547" s="30"/>
      <c r="T547" s="30"/>
      <c r="U547" s="30" t="n">
        <v>3430.52</v>
      </c>
      <c r="V547" s="30" t="n">
        <v>3430.52</v>
      </c>
      <c r="W547" s="30" t="n">
        <v>663.47</v>
      </c>
      <c r="X547" s="30" t="s">
        <v>1005</v>
      </c>
      <c r="Y547" s="30" t="n">
        <v>479.37</v>
      </c>
      <c r="Z547" s="30" t="s">
        <v>1005</v>
      </c>
      <c r="AA547" s="30" t="n">
        <v>602.28</v>
      </c>
      <c r="AB547" s="30" t="s">
        <v>1005</v>
      </c>
      <c r="AC547" s="30" t="n">
        <v>298.16</v>
      </c>
      <c r="AD547" s="30" t="s">
        <v>1005</v>
      </c>
      <c r="AE547" s="30" t="n">
        <v>257.35</v>
      </c>
      <c r="AF547" s="30" t="s">
        <v>1005</v>
      </c>
      <c r="AG547" s="30" t="n">
        <v>0</v>
      </c>
      <c r="AH547" s="30" t="s">
        <v>1005</v>
      </c>
      <c r="AI547" s="30" t="n">
        <v>65.04</v>
      </c>
      <c r="AJ547" s="30" t="s">
        <v>1005</v>
      </c>
      <c r="AK547" s="30" t="n">
        <v>123.24</v>
      </c>
      <c r="AL547" s="30" t="s">
        <v>1005</v>
      </c>
      <c r="AM547" s="30" t="n">
        <v>136.1</v>
      </c>
      <c r="AN547" s="30" t="s">
        <v>1005</v>
      </c>
      <c r="AO547" s="30" t="n">
        <v>338.96</v>
      </c>
      <c r="AP547" s="30" t="s">
        <v>1005</v>
      </c>
      <c r="AQ547" s="30" t="n">
        <v>355.33</v>
      </c>
      <c r="AR547" s="30" t="s">
        <v>1005</v>
      </c>
      <c r="AS547" s="30" t="n">
        <v>420.72</v>
      </c>
      <c r="AT547" s="30" t="s">
        <v>1005</v>
      </c>
      <c r="AU547" s="30" t="n">
        <v>3740.02</v>
      </c>
      <c r="AV547" s="30" t="n">
        <v>1.069</v>
      </c>
      <c r="AW547" s="30" t="s">
        <v>1016</v>
      </c>
      <c r="AX547" s="30" t="s">
        <v>1008</v>
      </c>
      <c r="AY547" s="30" t="n">
        <v>3</v>
      </c>
      <c r="AZ547" s="30"/>
    </row>
    <row collapsed="false" customFormat="true" customHeight="true" hidden="false" ht="33" outlineLevel="0" r="548" s="73">
      <c r="A548" s="30" t="n">
        <v>595</v>
      </c>
      <c r="B548" s="30" t="s">
        <v>823</v>
      </c>
      <c r="C548" s="30" t="s">
        <v>1009</v>
      </c>
      <c r="D548" s="30" t="s">
        <v>999</v>
      </c>
      <c r="E548" s="30" t="s">
        <v>1010</v>
      </c>
      <c r="F548" s="30" t="s">
        <v>1011</v>
      </c>
      <c r="G548" s="30" t="s">
        <v>1002</v>
      </c>
      <c r="H548" s="30" t="s">
        <v>1003</v>
      </c>
      <c r="I548" s="30" t="n">
        <v>1</v>
      </c>
      <c r="J548" s="30"/>
      <c r="K548" s="30" t="n">
        <v>65</v>
      </c>
      <c r="L548" s="30"/>
      <c r="M548" s="30" t="s">
        <v>1015</v>
      </c>
      <c r="N548" s="30" t="s">
        <v>53</v>
      </c>
      <c r="O548" s="30"/>
      <c r="P548" s="30"/>
      <c r="Q548" s="30"/>
      <c r="R548" s="30"/>
      <c r="S548" s="30"/>
      <c r="T548" s="30"/>
      <c r="U548" s="30" t="n">
        <v>876.62</v>
      </c>
      <c r="V548" s="30" t="n">
        <v>876.62</v>
      </c>
      <c r="W548" s="30" t="n">
        <v>172.73</v>
      </c>
      <c r="X548" s="30" t="s">
        <v>1005</v>
      </c>
      <c r="Y548" s="30" t="n">
        <v>122.19</v>
      </c>
      <c r="Z548" s="30" t="s">
        <v>1005</v>
      </c>
      <c r="AA548" s="30" t="n">
        <v>148.23</v>
      </c>
      <c r="AB548" s="30" t="s">
        <v>1005</v>
      </c>
      <c r="AC548" s="30" t="n">
        <v>82.34</v>
      </c>
      <c r="AD548" s="30" t="s">
        <v>1005</v>
      </c>
      <c r="AE548" s="30" t="n">
        <v>63.38</v>
      </c>
      <c r="AF548" s="30" t="s">
        <v>1005</v>
      </c>
      <c r="AG548" s="30" t="n">
        <v>0</v>
      </c>
      <c r="AH548" s="30" t="s">
        <v>1005</v>
      </c>
      <c r="AI548" s="30" t="n">
        <v>17.17</v>
      </c>
      <c r="AJ548" s="30" t="s">
        <v>1005</v>
      </c>
      <c r="AK548" s="30" t="n">
        <v>23.68</v>
      </c>
      <c r="AL548" s="30" t="s">
        <v>1005</v>
      </c>
      <c r="AM548" s="30" t="n">
        <v>35.26</v>
      </c>
      <c r="AN548" s="30" t="s">
        <v>1005</v>
      </c>
      <c r="AO548" s="30" t="n">
        <v>83.9</v>
      </c>
      <c r="AP548" s="30" t="s">
        <v>1005</v>
      </c>
      <c r="AQ548" s="30" t="n">
        <v>101.27</v>
      </c>
      <c r="AR548" s="30" t="s">
        <v>1005</v>
      </c>
      <c r="AS548" s="30" t="n">
        <v>119.01</v>
      </c>
      <c r="AT548" s="30" t="s">
        <v>1005</v>
      </c>
      <c r="AU548" s="30" t="n">
        <v>969.16</v>
      </c>
      <c r="AV548" s="30" t="n">
        <v>0.279</v>
      </c>
      <c r="AW548" s="30" t="s">
        <v>1016</v>
      </c>
      <c r="AX548" s="30" t="s">
        <v>1008</v>
      </c>
      <c r="AY548" s="30" t="n">
        <v>1</v>
      </c>
      <c r="AZ548" s="30"/>
    </row>
    <row collapsed="false" customFormat="true" customHeight="true" hidden="false" ht="33" outlineLevel="0" r="549" s="73">
      <c r="A549" s="30" t="n">
        <v>596</v>
      </c>
      <c r="B549" s="30" t="s">
        <v>824</v>
      </c>
      <c r="C549" s="30" t="s">
        <v>1009</v>
      </c>
      <c r="D549" s="30" t="s">
        <v>999</v>
      </c>
      <c r="E549" s="30" t="s">
        <v>1010</v>
      </c>
      <c r="F549" s="30" t="s">
        <v>1011</v>
      </c>
      <c r="G549" s="30" t="s">
        <v>1002</v>
      </c>
      <c r="H549" s="30" t="s">
        <v>1003</v>
      </c>
      <c r="I549" s="30" t="n">
        <v>1</v>
      </c>
      <c r="J549" s="30"/>
      <c r="K549" s="30" t="n">
        <v>65</v>
      </c>
      <c r="L549" s="30"/>
      <c r="M549" s="30" t="s">
        <v>1015</v>
      </c>
      <c r="N549" s="30" t="s">
        <v>53</v>
      </c>
      <c r="O549" s="30"/>
      <c r="P549" s="30"/>
      <c r="Q549" s="30"/>
      <c r="R549" s="30"/>
      <c r="S549" s="30"/>
      <c r="T549" s="30"/>
      <c r="U549" s="30" t="n">
        <v>1084.42</v>
      </c>
      <c r="V549" s="30" t="n">
        <v>1084.42</v>
      </c>
      <c r="W549" s="30" t="n">
        <v>185.2</v>
      </c>
      <c r="X549" s="30" t="s">
        <v>1005</v>
      </c>
      <c r="Y549" s="30" t="n">
        <v>126.83</v>
      </c>
      <c r="Z549" s="30" t="s">
        <v>1005</v>
      </c>
      <c r="AA549" s="30" t="n">
        <v>155.98</v>
      </c>
      <c r="AB549" s="30" t="s">
        <v>1005</v>
      </c>
      <c r="AC549" s="30" t="n">
        <v>82.44</v>
      </c>
      <c r="AD549" s="30" t="s">
        <v>1005</v>
      </c>
      <c r="AE549" s="30" t="n">
        <v>69.76</v>
      </c>
      <c r="AF549" s="30" t="s">
        <v>1005</v>
      </c>
      <c r="AG549" s="30" t="n">
        <v>0</v>
      </c>
      <c r="AH549" s="30" t="s">
        <v>1005</v>
      </c>
      <c r="AI549" s="30" t="n">
        <v>20.33</v>
      </c>
      <c r="AJ549" s="30" t="s">
        <v>1005</v>
      </c>
      <c r="AK549" s="30" t="n">
        <v>26.94</v>
      </c>
      <c r="AL549" s="30" t="s">
        <v>1005</v>
      </c>
      <c r="AM549" s="30" t="n">
        <v>39.7</v>
      </c>
      <c r="AN549" s="30" t="s">
        <v>1005</v>
      </c>
      <c r="AO549" s="30" t="n">
        <v>89.89</v>
      </c>
      <c r="AP549" s="30" t="s">
        <v>1005</v>
      </c>
      <c r="AQ549" s="30" t="n">
        <v>93.24</v>
      </c>
      <c r="AR549" s="30" t="s">
        <v>1005</v>
      </c>
      <c r="AS549" s="30" t="n">
        <v>111.84</v>
      </c>
      <c r="AT549" s="30" t="s">
        <v>1005</v>
      </c>
      <c r="AU549" s="30" t="n">
        <v>1002.15</v>
      </c>
      <c r="AV549" s="30" t="n">
        <v>0.28</v>
      </c>
      <c r="AW549" s="30" t="s">
        <v>1016</v>
      </c>
      <c r="AX549" s="30" t="s">
        <v>1008</v>
      </c>
      <c r="AY549" s="30" t="n">
        <v>1</v>
      </c>
      <c r="AZ549" s="30"/>
    </row>
    <row collapsed="false" customFormat="true" customHeight="true" hidden="false" ht="33" outlineLevel="0" r="550" s="73">
      <c r="A550" s="30" t="n">
        <v>597</v>
      </c>
      <c r="B550" s="30" t="s">
        <v>826</v>
      </c>
      <c r="C550" s="30" t="s">
        <v>1009</v>
      </c>
      <c r="D550" s="30" t="s">
        <v>999</v>
      </c>
      <c r="E550" s="30" t="s">
        <v>1010</v>
      </c>
      <c r="F550" s="30" t="s">
        <v>1001</v>
      </c>
      <c r="G550" s="30" t="s">
        <v>1002</v>
      </c>
      <c r="H550" s="30" t="s">
        <v>1003</v>
      </c>
      <c r="I550" s="30" t="n">
        <v>1</v>
      </c>
      <c r="J550" s="30"/>
      <c r="K550" s="30" t="n">
        <v>80</v>
      </c>
      <c r="L550" s="30" t="n">
        <v>5.5</v>
      </c>
      <c r="M550" s="30" t="s">
        <v>1015</v>
      </c>
      <c r="N550" s="30" t="s">
        <v>53</v>
      </c>
      <c r="O550" s="30"/>
      <c r="P550" s="30"/>
      <c r="Q550" s="30"/>
      <c r="R550" s="30"/>
      <c r="S550" s="30"/>
      <c r="T550" s="30"/>
      <c r="U550" s="30" t="n">
        <v>631.38</v>
      </c>
      <c r="V550" s="30" t="n">
        <v>849.02</v>
      </c>
      <c r="W550" s="30" t="n">
        <v>96.01</v>
      </c>
      <c r="X550" s="30" t="s">
        <v>1006</v>
      </c>
      <c r="Y550" s="30" t="n">
        <v>96.01</v>
      </c>
      <c r="Z550" s="30" t="s">
        <v>1006</v>
      </c>
      <c r="AA550" s="30" t="n">
        <v>96.01</v>
      </c>
      <c r="AB550" s="30" t="s">
        <v>1006</v>
      </c>
      <c r="AC550" s="30" t="n">
        <v>96.01</v>
      </c>
      <c r="AD550" s="30" t="s">
        <v>1006</v>
      </c>
      <c r="AE550" s="30" t="n">
        <v>27.87</v>
      </c>
      <c r="AF550" s="30" t="s">
        <v>1006</v>
      </c>
      <c r="AG550" s="30" t="n">
        <v>0</v>
      </c>
      <c r="AH550" s="30" t="s">
        <v>1006</v>
      </c>
      <c r="AI550" s="30" t="n">
        <v>0</v>
      </c>
      <c r="AJ550" s="30" t="s">
        <v>1006</v>
      </c>
      <c r="AK550" s="30" t="n">
        <v>0</v>
      </c>
      <c r="AL550" s="30" t="s">
        <v>1006</v>
      </c>
      <c r="AM550" s="30" t="n">
        <v>24.05</v>
      </c>
      <c r="AN550" s="30" t="s">
        <v>1006</v>
      </c>
      <c r="AO550" s="30" t="n">
        <v>36.67</v>
      </c>
      <c r="AP550" s="30" t="s">
        <v>1005</v>
      </c>
      <c r="AQ550" s="30" t="n">
        <v>59.5</v>
      </c>
      <c r="AR550" s="30" t="s">
        <v>1005</v>
      </c>
      <c r="AS550" s="30" t="n">
        <v>74.17</v>
      </c>
      <c r="AT550" s="30" t="s">
        <v>1005</v>
      </c>
      <c r="AU550" s="30" t="n">
        <v>606.3</v>
      </c>
      <c r="AV550" s="30" t="n">
        <v>0.39916</v>
      </c>
      <c r="AW550" s="30" t="s">
        <v>1016</v>
      </c>
      <c r="AX550" s="30" t="s">
        <v>1008</v>
      </c>
      <c r="AY550" s="30" t="n">
        <v>1</v>
      </c>
      <c r="AZ550" s="30"/>
    </row>
    <row collapsed="false" customFormat="true" customHeight="true" hidden="false" ht="33" outlineLevel="0" r="551" s="73">
      <c r="A551" s="30" t="n">
        <v>598</v>
      </c>
      <c r="B551" s="30" t="s">
        <v>827</v>
      </c>
      <c r="C551" s="30" t="s">
        <v>1009</v>
      </c>
      <c r="D551" s="30" t="s">
        <v>999</v>
      </c>
      <c r="E551" s="30" t="s">
        <v>1010</v>
      </c>
      <c r="F551" s="30" t="s">
        <v>1001</v>
      </c>
      <c r="G551" s="30" t="s">
        <v>1002</v>
      </c>
      <c r="H551" s="30" t="s">
        <v>1003</v>
      </c>
      <c r="I551" s="30" t="n">
        <v>1</v>
      </c>
      <c r="J551" s="30"/>
      <c r="K551" s="30" t="n">
        <v>80</v>
      </c>
      <c r="L551" s="30" t="n">
        <v>5.5</v>
      </c>
      <c r="M551" s="30" t="s">
        <v>1015</v>
      </c>
      <c r="N551" s="30" t="s">
        <v>54</v>
      </c>
      <c r="O551" s="30"/>
      <c r="P551" s="30"/>
      <c r="Q551" s="30"/>
      <c r="R551" s="30"/>
      <c r="S551" s="30"/>
      <c r="T551" s="30"/>
      <c r="U551" s="30" t="n">
        <v>754.12</v>
      </c>
      <c r="V551" s="30" t="n">
        <v>1060.91</v>
      </c>
      <c r="W551" s="30" t="n">
        <v>100.51</v>
      </c>
      <c r="X551" s="30" t="s">
        <v>1006</v>
      </c>
      <c r="Y551" s="30" t="n">
        <v>100.51</v>
      </c>
      <c r="Z551" s="30" t="s">
        <v>1006</v>
      </c>
      <c r="AA551" s="30" t="n">
        <v>100.51</v>
      </c>
      <c r="AB551" s="30" t="s">
        <v>1006</v>
      </c>
      <c r="AC551" s="30" t="n">
        <v>100.51</v>
      </c>
      <c r="AD551" s="30" t="s">
        <v>1006</v>
      </c>
      <c r="AE551" s="30" t="n">
        <v>29.18</v>
      </c>
      <c r="AF551" s="30" t="s">
        <v>1006</v>
      </c>
      <c r="AG551" s="30" t="n">
        <v>0</v>
      </c>
      <c r="AH551" s="30" t="s">
        <v>1006</v>
      </c>
      <c r="AI551" s="30" t="n">
        <v>0</v>
      </c>
      <c r="AJ551" s="30" t="s">
        <v>1006</v>
      </c>
      <c r="AK551" s="30" t="n">
        <v>0</v>
      </c>
      <c r="AL551" s="30" t="s">
        <v>1006</v>
      </c>
      <c r="AM551" s="30" t="n">
        <v>24.6</v>
      </c>
      <c r="AN551" s="30" t="s">
        <v>1006</v>
      </c>
      <c r="AO551" s="30" t="n">
        <v>105.41</v>
      </c>
      <c r="AP551" s="30" t="s">
        <v>1006</v>
      </c>
      <c r="AQ551" s="30" t="n">
        <v>105.41</v>
      </c>
      <c r="AR551" s="30" t="s">
        <v>1006</v>
      </c>
      <c r="AS551" s="30" t="n">
        <v>46.75</v>
      </c>
      <c r="AT551" s="30" t="s">
        <v>1005</v>
      </c>
      <c r="AU551" s="30" t="n">
        <v>713.39</v>
      </c>
      <c r="AV551" s="30" t="n">
        <v>0.39932</v>
      </c>
      <c r="AW551" s="30" t="s">
        <v>1016</v>
      </c>
      <c r="AX551" s="30" t="s">
        <v>1008</v>
      </c>
      <c r="AY551" s="30" t="n">
        <v>1</v>
      </c>
      <c r="AZ551" s="30"/>
    </row>
    <row collapsed="false" customFormat="true" customHeight="true" hidden="false" ht="33" outlineLevel="0" r="552" s="73">
      <c r="A552" s="30" t="n">
        <v>599</v>
      </c>
      <c r="B552" s="30" t="s">
        <v>828</v>
      </c>
      <c r="C552" s="30" t="s">
        <v>1009</v>
      </c>
      <c r="D552" s="30" t="s">
        <v>999</v>
      </c>
      <c r="E552" s="30" t="s">
        <v>1010</v>
      </c>
      <c r="F552" s="30" t="s">
        <v>1001</v>
      </c>
      <c r="G552" s="30" t="s">
        <v>1002</v>
      </c>
      <c r="H552" s="30" t="s">
        <v>1003</v>
      </c>
      <c r="I552" s="30" t="n">
        <v>1</v>
      </c>
      <c r="J552" s="30"/>
      <c r="K552" s="30" t="n">
        <v>80</v>
      </c>
      <c r="L552" s="30" t="n">
        <v>5.5</v>
      </c>
      <c r="M552" s="30" t="s">
        <v>1015</v>
      </c>
      <c r="N552" s="30" t="s">
        <v>53</v>
      </c>
      <c r="O552" s="30"/>
      <c r="P552" s="30"/>
      <c r="Q552" s="30"/>
      <c r="R552" s="30"/>
      <c r="S552" s="30"/>
      <c r="T552" s="30"/>
      <c r="U552" s="30" t="n">
        <v>678.36</v>
      </c>
      <c r="V552" s="30" t="n">
        <v>683.03</v>
      </c>
      <c r="W552" s="30" t="n">
        <v>100.06</v>
      </c>
      <c r="X552" s="30" t="s">
        <v>1005</v>
      </c>
      <c r="Y552" s="30" t="n">
        <v>99.76</v>
      </c>
      <c r="Z552" s="30" t="s">
        <v>1005</v>
      </c>
      <c r="AA552" s="30" t="n">
        <v>133.8</v>
      </c>
      <c r="AB552" s="30" t="s">
        <v>1005</v>
      </c>
      <c r="AC552" s="30" t="n">
        <v>64.29</v>
      </c>
      <c r="AD552" s="30" t="s">
        <v>1005</v>
      </c>
      <c r="AE552" s="30" t="n">
        <v>29.05</v>
      </c>
      <c r="AF552" s="30" t="s">
        <v>1005</v>
      </c>
      <c r="AG552" s="30" t="n">
        <v>0</v>
      </c>
      <c r="AH552" s="30" t="s">
        <v>1006</v>
      </c>
      <c r="AI552" s="30" t="n">
        <v>0</v>
      </c>
      <c r="AJ552" s="30" t="s">
        <v>1006</v>
      </c>
      <c r="AK552" s="30" t="n">
        <v>0</v>
      </c>
      <c r="AL552" s="30" t="s">
        <v>1006</v>
      </c>
      <c r="AM552" s="30" t="n">
        <v>0</v>
      </c>
      <c r="AN552" s="30"/>
      <c r="AO552" s="30" t="n">
        <v>61.49</v>
      </c>
      <c r="AP552" s="30" t="s">
        <v>1005</v>
      </c>
      <c r="AQ552" s="30" t="n">
        <v>74.15</v>
      </c>
      <c r="AR552" s="30" t="s">
        <v>1005</v>
      </c>
      <c r="AS552" s="30" t="n">
        <v>91.82</v>
      </c>
      <c r="AT552" s="30" t="s">
        <v>1005</v>
      </c>
      <c r="AU552" s="30" t="n">
        <v>654.42</v>
      </c>
      <c r="AV552" s="30" t="n">
        <v>0.39932</v>
      </c>
      <c r="AW552" s="30" t="s">
        <v>1016</v>
      </c>
      <c r="AX552" s="30" t="s">
        <v>1008</v>
      </c>
      <c r="AY552" s="30" t="n">
        <v>1</v>
      </c>
      <c r="AZ552" s="30"/>
    </row>
    <row collapsed="false" customFormat="true" customHeight="true" hidden="false" ht="33" outlineLevel="0" r="553" s="73">
      <c r="A553" s="30" t="n">
        <v>600</v>
      </c>
      <c r="B553" s="30" t="s">
        <v>829</v>
      </c>
      <c r="C553" s="30" t="s">
        <v>1009</v>
      </c>
      <c r="D553" s="30" t="s">
        <v>999</v>
      </c>
      <c r="E553" s="30" t="s">
        <v>1010</v>
      </c>
      <c r="F553" s="30" t="s">
        <v>1001</v>
      </c>
      <c r="G553" s="30" t="s">
        <v>1002</v>
      </c>
      <c r="H553" s="30" t="s">
        <v>1003</v>
      </c>
      <c r="I553" s="30" t="n">
        <v>1</v>
      </c>
      <c r="J553" s="30"/>
      <c r="K553" s="30" t="n">
        <v>80</v>
      </c>
      <c r="L553" s="30" t="n">
        <v>5.5</v>
      </c>
      <c r="M553" s="30" t="s">
        <v>1015</v>
      </c>
      <c r="N553" s="30" t="s">
        <v>53</v>
      </c>
      <c r="O553" s="30"/>
      <c r="P553" s="30"/>
      <c r="Q553" s="30"/>
      <c r="R553" s="30"/>
      <c r="S553" s="30"/>
      <c r="T553" s="30"/>
      <c r="U553" s="30" t="n">
        <v>683.29</v>
      </c>
      <c r="V553" s="30" t="n">
        <v>850.03</v>
      </c>
      <c r="W553" s="30" t="n">
        <v>78.21</v>
      </c>
      <c r="X553" s="30" t="s">
        <v>1006</v>
      </c>
      <c r="Y553" s="30" t="n">
        <v>78.21</v>
      </c>
      <c r="Z553" s="30" t="s">
        <v>1006</v>
      </c>
      <c r="AA553" s="30" t="n">
        <v>78.21</v>
      </c>
      <c r="AB553" s="30" t="s">
        <v>1006</v>
      </c>
      <c r="AC553" s="30" t="n">
        <v>78.21</v>
      </c>
      <c r="AD553" s="30" t="s">
        <v>1006</v>
      </c>
      <c r="AE553" s="30" t="n">
        <v>22.71</v>
      </c>
      <c r="AF553" s="30" t="s">
        <v>1006</v>
      </c>
      <c r="AG553" s="30" t="n">
        <v>0</v>
      </c>
      <c r="AH553" s="30" t="s">
        <v>1006</v>
      </c>
      <c r="AI553" s="30" t="n">
        <v>0</v>
      </c>
      <c r="AJ553" s="30" t="s">
        <v>1006</v>
      </c>
      <c r="AK553" s="30" t="n">
        <v>0</v>
      </c>
      <c r="AL553" s="30" t="s">
        <v>1006</v>
      </c>
      <c r="AM553" s="30" t="n">
        <v>18.92</v>
      </c>
      <c r="AN553" s="30" t="s">
        <v>1006</v>
      </c>
      <c r="AO553" s="30" t="n">
        <v>81.07</v>
      </c>
      <c r="AP553" s="30" t="s">
        <v>1006</v>
      </c>
      <c r="AQ553" s="30" t="n">
        <v>81.07</v>
      </c>
      <c r="AR553" s="30" t="s">
        <v>1006</v>
      </c>
      <c r="AS553" s="30" t="n">
        <v>42.44</v>
      </c>
      <c r="AT553" s="30" t="s">
        <v>1006</v>
      </c>
      <c r="AU553" s="30" t="n">
        <v>559.05</v>
      </c>
      <c r="AV553" s="30" t="n">
        <v>0.44826</v>
      </c>
      <c r="AW553" s="30" t="s">
        <v>1016</v>
      </c>
      <c r="AX553" s="30" t="s">
        <v>1008</v>
      </c>
      <c r="AY553" s="30" t="n">
        <v>1</v>
      </c>
      <c r="AZ553" s="30"/>
    </row>
    <row collapsed="false" customFormat="true" customHeight="true" hidden="false" ht="33" outlineLevel="0" r="554" s="73">
      <c r="A554" s="30" t="n">
        <v>601</v>
      </c>
      <c r="B554" s="30" t="s">
        <v>830</v>
      </c>
      <c r="C554" s="30" t="s">
        <v>1009</v>
      </c>
      <c r="D554" s="30" t="s">
        <v>999</v>
      </c>
      <c r="E554" s="30" t="s">
        <v>1010</v>
      </c>
      <c r="F554" s="30" t="s">
        <v>1001</v>
      </c>
      <c r="G554" s="30" t="s">
        <v>1002</v>
      </c>
      <c r="H554" s="30" t="s">
        <v>1003</v>
      </c>
      <c r="I554" s="30" t="n">
        <v>1</v>
      </c>
      <c r="J554" s="30"/>
      <c r="K554" s="30" t="n">
        <v>80</v>
      </c>
      <c r="L554" s="30" t="n">
        <v>5.5</v>
      </c>
      <c r="M554" s="30" t="s">
        <v>1015</v>
      </c>
      <c r="N554" s="30" t="s">
        <v>54</v>
      </c>
      <c r="O554" s="30"/>
      <c r="P554" s="30"/>
      <c r="Q554" s="30"/>
      <c r="R554" s="30"/>
      <c r="S554" s="30"/>
      <c r="T554" s="30"/>
      <c r="U554" s="30" t="n">
        <v>819.85</v>
      </c>
      <c r="V554" s="30" t="n">
        <v>1135.79</v>
      </c>
      <c r="W554" s="30" t="n">
        <v>118.67</v>
      </c>
      <c r="X554" s="30" t="s">
        <v>1006</v>
      </c>
      <c r="Y554" s="30" t="n">
        <v>118.67</v>
      </c>
      <c r="Z554" s="30" t="s">
        <v>1006</v>
      </c>
      <c r="AA554" s="30" t="n">
        <v>118.67</v>
      </c>
      <c r="AB554" s="30" t="s">
        <v>1006</v>
      </c>
      <c r="AC554" s="30" t="n">
        <v>118.67</v>
      </c>
      <c r="AD554" s="30" t="s">
        <v>1006</v>
      </c>
      <c r="AE554" s="30" t="n">
        <v>34.45</v>
      </c>
      <c r="AF554" s="30" t="s">
        <v>1006</v>
      </c>
      <c r="AG554" s="30" t="n">
        <v>0</v>
      </c>
      <c r="AH554" s="30" t="s">
        <v>1006</v>
      </c>
      <c r="AI554" s="30" t="n">
        <v>0</v>
      </c>
      <c r="AJ554" s="30" t="s">
        <v>1006</v>
      </c>
      <c r="AK554" s="30" t="n">
        <v>0</v>
      </c>
      <c r="AL554" s="30" t="s">
        <v>1006</v>
      </c>
      <c r="AM554" s="30" t="n">
        <v>29.04</v>
      </c>
      <c r="AN554" s="30" t="s">
        <v>1006</v>
      </c>
      <c r="AO554" s="30" t="n">
        <v>124.45</v>
      </c>
      <c r="AP554" s="30" t="s">
        <v>1006</v>
      </c>
      <c r="AQ554" s="30" t="n">
        <v>124.45</v>
      </c>
      <c r="AR554" s="30" t="s">
        <v>1006</v>
      </c>
      <c r="AS554" s="30" t="n">
        <v>124.45</v>
      </c>
      <c r="AT554" s="30" t="s">
        <v>1006</v>
      </c>
      <c r="AU554" s="30" t="n">
        <v>911.52</v>
      </c>
      <c r="AV554" s="30" t="n">
        <v>0.44146</v>
      </c>
      <c r="AW554" s="30" t="s">
        <v>1016</v>
      </c>
      <c r="AX554" s="30" t="s">
        <v>1008</v>
      </c>
      <c r="AY554" s="30" t="n">
        <v>1</v>
      </c>
      <c r="AZ554" s="30"/>
    </row>
    <row collapsed="false" customFormat="true" customHeight="true" hidden="false" ht="33" outlineLevel="0" r="555" s="73">
      <c r="A555" s="30" t="n">
        <v>602</v>
      </c>
      <c r="B555" s="30" t="s">
        <v>831</v>
      </c>
      <c r="C555" s="30" t="s">
        <v>1009</v>
      </c>
      <c r="D555" s="30" t="s">
        <v>999</v>
      </c>
      <c r="E555" s="30" t="s">
        <v>1010</v>
      </c>
      <c r="F555" s="30" t="s">
        <v>1001</v>
      </c>
      <c r="G555" s="30" t="s">
        <v>1002</v>
      </c>
      <c r="H555" s="30" t="s">
        <v>1003</v>
      </c>
      <c r="I555" s="30" t="n">
        <v>1</v>
      </c>
      <c r="J555" s="30"/>
      <c r="K555" s="30" t="n">
        <v>80</v>
      </c>
      <c r="L555" s="30" t="n">
        <v>5.5</v>
      </c>
      <c r="M555" s="30" t="s">
        <v>1015</v>
      </c>
      <c r="N555" s="30" t="s">
        <v>54</v>
      </c>
      <c r="O555" s="30"/>
      <c r="P555" s="30"/>
      <c r="Q555" s="30"/>
      <c r="R555" s="30"/>
      <c r="S555" s="30"/>
      <c r="T555" s="30"/>
      <c r="U555" s="30" t="n">
        <v>656.82</v>
      </c>
      <c r="V555" s="30" t="n">
        <v>689.19</v>
      </c>
      <c r="W555" s="30" t="n">
        <v>90.8</v>
      </c>
      <c r="X555" s="30" t="s">
        <v>1006</v>
      </c>
      <c r="Y555" s="30" t="n">
        <v>90.8</v>
      </c>
      <c r="Z555" s="30" t="s">
        <v>1006</v>
      </c>
      <c r="AA555" s="30" t="n">
        <v>90.8</v>
      </c>
      <c r="AB555" s="30" t="s">
        <v>1006</v>
      </c>
      <c r="AC555" s="30" t="n">
        <v>66.22</v>
      </c>
      <c r="AD555" s="30" t="s">
        <v>1006</v>
      </c>
      <c r="AE555" s="30" t="n">
        <v>26.36</v>
      </c>
      <c r="AF555" s="30" t="s">
        <v>1006</v>
      </c>
      <c r="AG555" s="30" t="n">
        <v>0</v>
      </c>
      <c r="AH555" s="30" t="s">
        <v>1006</v>
      </c>
      <c r="AI555" s="30" t="n">
        <v>0</v>
      </c>
      <c r="AJ555" s="30" t="s">
        <v>1006</v>
      </c>
      <c r="AK555" s="30" t="n">
        <v>0</v>
      </c>
      <c r="AL555" s="30" t="s">
        <v>1006</v>
      </c>
      <c r="AM555" s="30" t="n">
        <v>0</v>
      </c>
      <c r="AN555" s="30"/>
      <c r="AO555" s="30" t="n">
        <v>61.78</v>
      </c>
      <c r="AP555" s="30" t="s">
        <v>1005</v>
      </c>
      <c r="AQ555" s="30" t="n">
        <v>70.43</v>
      </c>
      <c r="AR555" s="30" t="s">
        <v>1005</v>
      </c>
      <c r="AS555" s="30" t="n">
        <v>86.78</v>
      </c>
      <c r="AT555" s="30" t="s">
        <v>1005</v>
      </c>
      <c r="AU555" s="30" t="n">
        <v>583.97</v>
      </c>
      <c r="AV555" s="30" t="n">
        <v>0.34313</v>
      </c>
      <c r="AW555" s="30" t="s">
        <v>1016</v>
      </c>
      <c r="AX555" s="30" t="s">
        <v>1008</v>
      </c>
      <c r="AY555" s="30" t="n">
        <v>1</v>
      </c>
      <c r="AZ555" s="30"/>
    </row>
    <row collapsed="false" customFormat="true" customHeight="true" hidden="false" ht="33" outlineLevel="0" r="556" s="73">
      <c r="A556" s="30" t="n">
        <v>603</v>
      </c>
      <c r="B556" s="30" t="s">
        <v>832</v>
      </c>
      <c r="C556" s="30" t="s">
        <v>1009</v>
      </c>
      <c r="D556" s="30" t="s">
        <v>999</v>
      </c>
      <c r="E556" s="30" t="s">
        <v>1010</v>
      </c>
      <c r="F556" s="30" t="s">
        <v>1001</v>
      </c>
      <c r="G556" s="30" t="s">
        <v>1002</v>
      </c>
      <c r="H556" s="30" t="s">
        <v>1003</v>
      </c>
      <c r="I556" s="30" t="n">
        <v>1</v>
      </c>
      <c r="J556" s="30"/>
      <c r="K556" s="30" t="n">
        <v>80</v>
      </c>
      <c r="L556" s="30" t="n">
        <v>5.5</v>
      </c>
      <c r="M556" s="30" t="s">
        <v>1015</v>
      </c>
      <c r="N556" s="30" t="s">
        <v>53</v>
      </c>
      <c r="O556" s="30"/>
      <c r="P556" s="30"/>
      <c r="Q556" s="30"/>
      <c r="R556" s="30"/>
      <c r="S556" s="30"/>
      <c r="T556" s="30"/>
      <c r="U556" s="30" t="n">
        <v>428.7</v>
      </c>
      <c r="V556" s="30" t="n">
        <v>537.42</v>
      </c>
      <c r="W556" s="30" t="n">
        <v>100.54</v>
      </c>
      <c r="X556" s="30" t="s">
        <v>1005</v>
      </c>
      <c r="Y556" s="30" t="n">
        <v>71.28</v>
      </c>
      <c r="Z556" s="30" t="s">
        <v>1005</v>
      </c>
      <c r="AA556" s="30" t="n">
        <v>88.43</v>
      </c>
      <c r="AB556" s="30" t="s">
        <v>1005</v>
      </c>
      <c r="AC556" s="30" t="n">
        <v>39.67</v>
      </c>
      <c r="AD556" s="30" t="s">
        <v>1005</v>
      </c>
      <c r="AE556" s="30" t="n">
        <v>22.51</v>
      </c>
      <c r="AF556" s="30" t="s">
        <v>1005</v>
      </c>
      <c r="AG556" s="30" t="n">
        <v>0</v>
      </c>
      <c r="AH556" s="30" t="s">
        <v>1006</v>
      </c>
      <c r="AI556" s="30" t="n">
        <v>0</v>
      </c>
      <c r="AJ556" s="30" t="s">
        <v>1006</v>
      </c>
      <c r="AK556" s="30" t="n">
        <v>0</v>
      </c>
      <c r="AL556" s="30" t="s">
        <v>1006</v>
      </c>
      <c r="AM556" s="30" t="n">
        <v>3.49</v>
      </c>
      <c r="AN556" s="30" t="s">
        <v>1006</v>
      </c>
      <c r="AO556" s="30" t="n">
        <v>42.33</v>
      </c>
      <c r="AP556" s="30" t="s">
        <v>1005</v>
      </c>
      <c r="AQ556" s="30" t="n">
        <v>46.47</v>
      </c>
      <c r="AR556" s="30" t="s">
        <v>1005</v>
      </c>
      <c r="AS556" s="30" t="n">
        <v>56.44</v>
      </c>
      <c r="AT556" s="30" t="s">
        <v>1005</v>
      </c>
      <c r="AU556" s="30" t="n">
        <v>471.16</v>
      </c>
      <c r="AV556" s="30" t="n">
        <v>0.45026</v>
      </c>
      <c r="AW556" s="30" t="s">
        <v>1016</v>
      </c>
      <c r="AX556" s="30" t="s">
        <v>1008</v>
      </c>
      <c r="AY556" s="30" t="n">
        <v>1</v>
      </c>
      <c r="AZ556" s="30"/>
    </row>
    <row collapsed="false" customFormat="true" customHeight="true" hidden="false" ht="33" outlineLevel="0" r="557" s="73">
      <c r="A557" s="30" t="n">
        <v>604</v>
      </c>
      <c r="B557" s="30" t="s">
        <v>833</v>
      </c>
      <c r="C557" s="30" t="s">
        <v>1009</v>
      </c>
      <c r="D557" s="30" t="s">
        <v>999</v>
      </c>
      <c r="E557" s="30" t="s">
        <v>1010</v>
      </c>
      <c r="F557" s="30" t="s">
        <v>1001</v>
      </c>
      <c r="G557" s="30" t="s">
        <v>1002</v>
      </c>
      <c r="H557" s="30" t="s">
        <v>1003</v>
      </c>
      <c r="I557" s="30" t="n">
        <v>1</v>
      </c>
      <c r="J557" s="30"/>
      <c r="K557" s="30" t="n">
        <v>80</v>
      </c>
      <c r="L557" s="30" t="n">
        <v>5.5</v>
      </c>
      <c r="M557" s="30" t="s">
        <v>1015</v>
      </c>
      <c r="N557" s="30" t="s">
        <v>54</v>
      </c>
      <c r="O557" s="30"/>
      <c r="P557" s="30"/>
      <c r="Q557" s="30"/>
      <c r="R557" s="30"/>
      <c r="S557" s="30"/>
      <c r="T557" s="30"/>
      <c r="U557" s="30" t="n">
        <v>504.86</v>
      </c>
      <c r="V557" s="30" t="n">
        <v>610</v>
      </c>
      <c r="W557" s="30" t="n">
        <v>55.24</v>
      </c>
      <c r="X557" s="30" t="s">
        <v>1005</v>
      </c>
      <c r="Y557" s="30" t="n">
        <v>66.13</v>
      </c>
      <c r="Z557" s="30" t="s">
        <v>1005</v>
      </c>
      <c r="AA557" s="30" t="n">
        <v>88.47</v>
      </c>
      <c r="AB557" s="30" t="s">
        <v>1005</v>
      </c>
      <c r="AC557" s="30" t="n">
        <v>43.55</v>
      </c>
      <c r="AD557" s="30" t="s">
        <v>1005</v>
      </c>
      <c r="AE557" s="30" t="n">
        <v>16.04</v>
      </c>
      <c r="AF557" s="30" t="s">
        <v>1005</v>
      </c>
      <c r="AG557" s="30" t="n">
        <v>0</v>
      </c>
      <c r="AH557" s="30" t="s">
        <v>1006</v>
      </c>
      <c r="AI557" s="30" t="n">
        <v>0</v>
      </c>
      <c r="AJ557" s="30" t="s">
        <v>1006</v>
      </c>
      <c r="AK557" s="30" t="n">
        <v>0</v>
      </c>
      <c r="AL557" s="30" t="s">
        <v>1006</v>
      </c>
      <c r="AM557" s="30" t="n">
        <v>0</v>
      </c>
      <c r="AN557" s="30"/>
      <c r="AO557" s="30" t="n">
        <v>43.88</v>
      </c>
      <c r="AP557" s="30" t="s">
        <v>1005</v>
      </c>
      <c r="AQ557" s="30" t="n">
        <v>51.42</v>
      </c>
      <c r="AR557" s="30" t="s">
        <v>1005</v>
      </c>
      <c r="AS557" s="30" t="n">
        <v>62.21</v>
      </c>
      <c r="AT557" s="30" t="s">
        <v>1005</v>
      </c>
      <c r="AU557" s="30" t="n">
        <v>426.94</v>
      </c>
      <c r="AV557" s="30" t="n">
        <v>0.26487</v>
      </c>
      <c r="AW557" s="30" t="s">
        <v>1016</v>
      </c>
      <c r="AX557" s="30" t="s">
        <v>1008</v>
      </c>
      <c r="AY557" s="30" t="n">
        <v>1</v>
      </c>
      <c r="AZ557" s="30"/>
    </row>
    <row collapsed="false" customFormat="true" customHeight="true" hidden="false" ht="33" outlineLevel="0" r="558" s="73">
      <c r="A558" s="30" t="n">
        <v>605</v>
      </c>
      <c r="B558" s="30" t="s">
        <v>834</v>
      </c>
      <c r="C558" s="30" t="s">
        <v>1009</v>
      </c>
      <c r="D558" s="30" t="s">
        <v>999</v>
      </c>
      <c r="E558" s="30" t="s">
        <v>1010</v>
      </c>
      <c r="F558" s="30" t="s">
        <v>1001</v>
      </c>
      <c r="G558" s="30" t="s">
        <v>1002</v>
      </c>
      <c r="H558" s="30" t="s">
        <v>1003</v>
      </c>
      <c r="I558" s="30" t="n">
        <v>0</v>
      </c>
      <c r="J558" s="30"/>
      <c r="K558" s="30" t="n">
        <v>50</v>
      </c>
      <c r="L558" s="30" t="n">
        <v>5.5</v>
      </c>
      <c r="M558" s="30" t="s">
        <v>1015</v>
      </c>
      <c r="N558" s="30" t="s">
        <v>54</v>
      </c>
      <c r="O558" s="30"/>
      <c r="P558" s="30"/>
      <c r="Q558" s="30"/>
      <c r="R558" s="30"/>
      <c r="S558" s="30"/>
      <c r="T558" s="30"/>
      <c r="U558" s="30" t="n">
        <v>177.43</v>
      </c>
      <c r="V558" s="30" t="n">
        <v>293</v>
      </c>
      <c r="W558" s="30" t="n">
        <v>33.36</v>
      </c>
      <c r="X558" s="30" t="s">
        <v>1006</v>
      </c>
      <c r="Y558" s="30" t="n">
        <v>33.36</v>
      </c>
      <c r="Z558" s="30" t="s">
        <v>1006</v>
      </c>
      <c r="AA558" s="30" t="n">
        <v>33.36</v>
      </c>
      <c r="AB558" s="30" t="s">
        <v>1006</v>
      </c>
      <c r="AC558" s="30" t="n">
        <v>33.36</v>
      </c>
      <c r="AD558" s="30" t="s">
        <v>1006</v>
      </c>
      <c r="AE558" s="30" t="n">
        <v>9.69</v>
      </c>
      <c r="AF558" s="30" t="s">
        <v>1006</v>
      </c>
      <c r="AG558" s="30" t="n">
        <v>0</v>
      </c>
      <c r="AH558" s="30" t="s">
        <v>1006</v>
      </c>
      <c r="AI558" s="30" t="n">
        <v>0</v>
      </c>
      <c r="AJ558" s="30" t="s">
        <v>1006</v>
      </c>
      <c r="AK558" s="30" t="n">
        <v>0</v>
      </c>
      <c r="AL558" s="30" t="s">
        <v>1006</v>
      </c>
      <c r="AM558" s="30" t="n">
        <v>8.36</v>
      </c>
      <c r="AN558" s="30" t="s">
        <v>1006</v>
      </c>
      <c r="AO558" s="30" t="n">
        <v>35.81</v>
      </c>
      <c r="AP558" s="30" t="s">
        <v>1006</v>
      </c>
      <c r="AQ558" s="30" t="n">
        <v>35.81</v>
      </c>
      <c r="AR558" s="30" t="s">
        <v>1006</v>
      </c>
      <c r="AS558" s="30" t="n">
        <v>35.81</v>
      </c>
      <c r="AT558" s="30" t="s">
        <v>1006</v>
      </c>
      <c r="AU558" s="30" t="n">
        <v>258.92</v>
      </c>
      <c r="AV558" s="30" t="n">
        <v>0.09331</v>
      </c>
      <c r="AW558" s="30" t="s">
        <v>1016</v>
      </c>
      <c r="AX558" s="30" t="s">
        <v>1008</v>
      </c>
      <c r="AY558" s="30" t="n">
        <v>1</v>
      </c>
      <c r="AZ558" s="30"/>
    </row>
    <row collapsed="false" customFormat="true" customHeight="true" hidden="false" ht="33" outlineLevel="0" r="559" s="73">
      <c r="A559" s="30" t="n">
        <v>606</v>
      </c>
      <c r="B559" s="30" t="s">
        <v>835</v>
      </c>
      <c r="C559" s="30" t="s">
        <v>1009</v>
      </c>
      <c r="D559" s="30" t="s">
        <v>999</v>
      </c>
      <c r="E559" s="30" t="s">
        <v>1010</v>
      </c>
      <c r="F559" s="30" t="s">
        <v>1001</v>
      </c>
      <c r="G559" s="30" t="s">
        <v>1002</v>
      </c>
      <c r="H559" s="30" t="s">
        <v>1003</v>
      </c>
      <c r="I559" s="30" t="n">
        <v>1</v>
      </c>
      <c r="J559" s="30"/>
      <c r="K559" s="30" t="n">
        <v>80</v>
      </c>
      <c r="L559" s="30" t="n">
        <v>5.5</v>
      </c>
      <c r="M559" s="30" t="s">
        <v>1015</v>
      </c>
      <c r="N559" s="30" t="s">
        <v>54</v>
      </c>
      <c r="O559" s="30"/>
      <c r="P559" s="30"/>
      <c r="Q559" s="30"/>
      <c r="R559" s="30"/>
      <c r="S559" s="30"/>
      <c r="T559" s="30"/>
      <c r="U559" s="30" t="n">
        <v>802.28</v>
      </c>
      <c r="V559" s="30" t="n">
        <v>822.14</v>
      </c>
      <c r="W559" s="30" t="n">
        <v>96.36</v>
      </c>
      <c r="X559" s="30" t="s">
        <v>1006</v>
      </c>
      <c r="Y559" s="30" t="n">
        <v>96.36</v>
      </c>
      <c r="Z559" s="30" t="s">
        <v>1006</v>
      </c>
      <c r="AA559" s="30" t="n">
        <v>96.36</v>
      </c>
      <c r="AB559" s="30" t="s">
        <v>1006</v>
      </c>
      <c r="AC559" s="30" t="n">
        <v>78.16</v>
      </c>
      <c r="AD559" s="30" t="s">
        <v>1006</v>
      </c>
      <c r="AE559" s="30" t="n">
        <v>27.98</v>
      </c>
      <c r="AF559" s="30" t="s">
        <v>1006</v>
      </c>
      <c r="AG559" s="30" t="n">
        <v>0</v>
      </c>
      <c r="AH559" s="30" t="s">
        <v>1006</v>
      </c>
      <c r="AI559" s="30" t="n">
        <v>0</v>
      </c>
      <c r="AJ559" s="30" t="s">
        <v>1006</v>
      </c>
      <c r="AK559" s="30" t="n">
        <v>0</v>
      </c>
      <c r="AL559" s="30" t="s">
        <v>1006</v>
      </c>
      <c r="AM559" s="30" t="n">
        <v>0</v>
      </c>
      <c r="AN559" s="30"/>
      <c r="AO559" s="30" t="n">
        <v>71.05</v>
      </c>
      <c r="AP559" s="30" t="s">
        <v>1005</v>
      </c>
      <c r="AQ559" s="30" t="n">
        <v>81.5</v>
      </c>
      <c r="AR559" s="30" t="s">
        <v>1005</v>
      </c>
      <c r="AS559" s="30" t="n">
        <v>88.88</v>
      </c>
      <c r="AT559" s="30" t="s">
        <v>1005</v>
      </c>
      <c r="AU559" s="30" t="n">
        <v>636.65</v>
      </c>
      <c r="AV559" s="30" t="n">
        <v>0.46152</v>
      </c>
      <c r="AW559" s="30" t="s">
        <v>1016</v>
      </c>
      <c r="AX559" s="30" t="s">
        <v>1008</v>
      </c>
      <c r="AY559" s="30" t="n">
        <v>1</v>
      </c>
      <c r="AZ559" s="30"/>
    </row>
    <row collapsed="false" customFormat="true" customHeight="true" hidden="false" ht="33" outlineLevel="0" r="560" s="73">
      <c r="A560" s="30" t="n">
        <v>607</v>
      </c>
      <c r="B560" s="30" t="s">
        <v>836</v>
      </c>
      <c r="C560" s="30" t="s">
        <v>1009</v>
      </c>
      <c r="D560" s="30" t="s">
        <v>999</v>
      </c>
      <c r="E560" s="30" t="s">
        <v>1010</v>
      </c>
      <c r="F560" s="30" t="s">
        <v>1001</v>
      </c>
      <c r="G560" s="30" t="s">
        <v>1002</v>
      </c>
      <c r="H560" s="30" t="s">
        <v>1003</v>
      </c>
      <c r="I560" s="30" t="n">
        <v>1</v>
      </c>
      <c r="J560" s="30"/>
      <c r="K560" s="30" t="n">
        <v>80</v>
      </c>
      <c r="L560" s="30" t="n">
        <v>5.5</v>
      </c>
      <c r="M560" s="30" t="s">
        <v>1015</v>
      </c>
      <c r="N560" s="30" t="s">
        <v>54</v>
      </c>
      <c r="O560" s="30"/>
      <c r="P560" s="30"/>
      <c r="Q560" s="30"/>
      <c r="R560" s="30"/>
      <c r="S560" s="30"/>
      <c r="T560" s="30"/>
      <c r="U560" s="30" t="n">
        <v>621.57</v>
      </c>
      <c r="V560" s="30" t="n">
        <v>644.36</v>
      </c>
      <c r="W560" s="30" t="n">
        <v>68.44</v>
      </c>
      <c r="X560" s="30" t="s">
        <v>1005</v>
      </c>
      <c r="Y560" s="30" t="n">
        <v>84.32</v>
      </c>
      <c r="Z560" s="30" t="s">
        <v>1005</v>
      </c>
      <c r="AA560" s="30" t="n">
        <v>112.37</v>
      </c>
      <c r="AB560" s="30" t="s">
        <v>1005</v>
      </c>
      <c r="AC560" s="30" t="n">
        <v>55.6</v>
      </c>
      <c r="AD560" s="30" t="s">
        <v>1005</v>
      </c>
      <c r="AE560" s="30" t="n">
        <v>19.87</v>
      </c>
      <c r="AF560" s="30" t="s">
        <v>1005</v>
      </c>
      <c r="AG560" s="30" t="n">
        <v>0</v>
      </c>
      <c r="AH560" s="30" t="s">
        <v>1006</v>
      </c>
      <c r="AI560" s="30" t="n">
        <v>0</v>
      </c>
      <c r="AJ560" s="30" t="s">
        <v>1006</v>
      </c>
      <c r="AK560" s="30" t="n">
        <v>0</v>
      </c>
      <c r="AL560" s="30" t="s">
        <v>1006</v>
      </c>
      <c r="AM560" s="30" t="n">
        <v>0</v>
      </c>
      <c r="AN560" s="30"/>
      <c r="AO560" s="30" t="n">
        <v>59.81</v>
      </c>
      <c r="AP560" s="30" t="s">
        <v>1005</v>
      </c>
      <c r="AQ560" s="30" t="n">
        <v>67.94</v>
      </c>
      <c r="AR560" s="30" t="s">
        <v>1005</v>
      </c>
      <c r="AS560" s="30" t="n">
        <v>82.27</v>
      </c>
      <c r="AT560" s="30" t="s">
        <v>1005</v>
      </c>
      <c r="AU560" s="30" t="n">
        <v>550.62</v>
      </c>
      <c r="AV560" s="30" t="n">
        <v>0.33009</v>
      </c>
      <c r="AW560" s="30" t="s">
        <v>1016</v>
      </c>
      <c r="AX560" s="30" t="s">
        <v>1008</v>
      </c>
      <c r="AY560" s="30" t="n">
        <v>1</v>
      </c>
      <c r="AZ560" s="30"/>
    </row>
    <row collapsed="false" customFormat="true" customHeight="true" hidden="false" ht="33" outlineLevel="0" r="561" s="73">
      <c r="A561" s="30" t="n">
        <v>608</v>
      </c>
      <c r="B561" s="30" t="s">
        <v>837</v>
      </c>
      <c r="C561" s="30" t="s">
        <v>1009</v>
      </c>
      <c r="D561" s="30" t="s">
        <v>999</v>
      </c>
      <c r="E561" s="30" t="s">
        <v>1010</v>
      </c>
      <c r="F561" s="30" t="s">
        <v>1001</v>
      </c>
      <c r="G561" s="30" t="s">
        <v>1002</v>
      </c>
      <c r="H561" s="30" t="s">
        <v>1003</v>
      </c>
      <c r="I561" s="30" t="n">
        <v>1</v>
      </c>
      <c r="J561" s="30"/>
      <c r="K561" s="30" t="n">
        <v>80</v>
      </c>
      <c r="L561" s="30" t="n">
        <v>5.5</v>
      </c>
      <c r="M561" s="30" t="s">
        <v>1015</v>
      </c>
      <c r="N561" s="30" t="s">
        <v>53</v>
      </c>
      <c r="O561" s="30"/>
      <c r="P561" s="30"/>
      <c r="Q561" s="30"/>
      <c r="R561" s="30"/>
      <c r="S561" s="30"/>
      <c r="T561" s="30"/>
      <c r="U561" s="30" t="n">
        <v>842.21</v>
      </c>
      <c r="V561" s="30" t="n">
        <v>994.41</v>
      </c>
      <c r="W561" s="30" t="n">
        <v>91.9</v>
      </c>
      <c r="X561" s="30" t="s">
        <v>1005</v>
      </c>
      <c r="Y561" s="30" t="n">
        <v>91.02</v>
      </c>
      <c r="Z561" s="30" t="s">
        <v>1006</v>
      </c>
      <c r="AA561" s="30" t="n">
        <v>117.64</v>
      </c>
      <c r="AB561" s="30" t="s">
        <v>1006</v>
      </c>
      <c r="AC561" s="30" t="n">
        <v>48.98</v>
      </c>
      <c r="AD561" s="30" t="s">
        <v>1006</v>
      </c>
      <c r="AE561" s="30" t="n">
        <v>26.68</v>
      </c>
      <c r="AF561" s="30" t="s">
        <v>1006</v>
      </c>
      <c r="AG561" s="30" t="n">
        <v>0</v>
      </c>
      <c r="AH561" s="30" t="s">
        <v>1006</v>
      </c>
      <c r="AI561" s="30" t="n">
        <v>0</v>
      </c>
      <c r="AJ561" s="30" t="s">
        <v>1006</v>
      </c>
      <c r="AK561" s="30" t="n">
        <v>0</v>
      </c>
      <c r="AL561" s="30" t="s">
        <v>1006</v>
      </c>
      <c r="AM561" s="30" t="n">
        <v>6.46</v>
      </c>
      <c r="AN561" s="30" t="s">
        <v>1006</v>
      </c>
      <c r="AO561" s="30" t="n">
        <v>48.88</v>
      </c>
      <c r="AP561" s="30" t="s">
        <v>1006</v>
      </c>
      <c r="AQ561" s="30" t="n">
        <v>62.33</v>
      </c>
      <c r="AR561" s="30" t="s">
        <v>1005</v>
      </c>
      <c r="AS561" s="30" t="n">
        <v>66.51</v>
      </c>
      <c r="AT561" s="30" t="s">
        <v>1005</v>
      </c>
      <c r="AU561" s="30" t="n">
        <v>560.4</v>
      </c>
      <c r="AV561" s="30" t="n">
        <v>0.56357</v>
      </c>
      <c r="AW561" s="30" t="s">
        <v>1016</v>
      </c>
      <c r="AX561" s="30" t="s">
        <v>1008</v>
      </c>
      <c r="AY561" s="30" t="n">
        <v>1</v>
      </c>
      <c r="AZ561" s="30"/>
    </row>
    <row collapsed="false" customFormat="true" customHeight="true" hidden="false" ht="33" outlineLevel="0" r="562" s="73">
      <c r="A562" s="30" t="n">
        <v>609</v>
      </c>
      <c r="B562" s="30" t="s">
        <v>838</v>
      </c>
      <c r="C562" s="30" t="s">
        <v>1009</v>
      </c>
      <c r="D562" s="30" t="s">
        <v>999</v>
      </c>
      <c r="E562" s="30" t="s">
        <v>1010</v>
      </c>
      <c r="F562" s="30" t="s">
        <v>1001</v>
      </c>
      <c r="G562" s="30" t="s">
        <v>1002</v>
      </c>
      <c r="H562" s="30" t="s">
        <v>1003</v>
      </c>
      <c r="I562" s="30" t="n">
        <v>0</v>
      </c>
      <c r="J562" s="30"/>
      <c r="K562" s="30" t="n">
        <v>50</v>
      </c>
      <c r="L562" s="30" t="n">
        <v>5.5</v>
      </c>
      <c r="M562" s="30" t="s">
        <v>1015</v>
      </c>
      <c r="N562" s="30" t="s">
        <v>54</v>
      </c>
      <c r="O562" s="30"/>
      <c r="P562" s="30"/>
      <c r="Q562" s="30"/>
      <c r="R562" s="30"/>
      <c r="S562" s="30"/>
      <c r="T562" s="30"/>
      <c r="U562" s="30" t="n">
        <v>179.36</v>
      </c>
      <c r="V562" s="30" t="n">
        <v>192.48</v>
      </c>
      <c r="W562" s="30" t="n">
        <v>16.74</v>
      </c>
      <c r="X562" s="30" t="s">
        <v>1006</v>
      </c>
      <c r="Y562" s="30" t="n">
        <v>16.74</v>
      </c>
      <c r="Z562" s="30" t="s">
        <v>1006</v>
      </c>
      <c r="AA562" s="30" t="n">
        <v>16.74</v>
      </c>
      <c r="AB562" s="30" t="s">
        <v>1006</v>
      </c>
      <c r="AC562" s="30" t="n">
        <v>16.74</v>
      </c>
      <c r="AD562" s="30" t="s">
        <v>1006</v>
      </c>
      <c r="AE562" s="30" t="n">
        <v>4.86</v>
      </c>
      <c r="AF562" s="30" t="s">
        <v>1006</v>
      </c>
      <c r="AG562" s="30" t="n">
        <v>0</v>
      </c>
      <c r="AH562" s="30" t="s">
        <v>1006</v>
      </c>
      <c r="AI562" s="30" t="n">
        <v>0</v>
      </c>
      <c r="AJ562" s="30" t="s">
        <v>1006</v>
      </c>
      <c r="AK562" s="30" t="n">
        <v>0</v>
      </c>
      <c r="AL562" s="30" t="s">
        <v>1006</v>
      </c>
      <c r="AM562" s="30" t="n">
        <v>4.05</v>
      </c>
      <c r="AN562" s="30" t="s">
        <v>1006</v>
      </c>
      <c r="AO562" s="30" t="n">
        <v>17.35</v>
      </c>
      <c r="AP562" s="30" t="s">
        <v>1006</v>
      </c>
      <c r="AQ562" s="30" t="n">
        <v>17.35</v>
      </c>
      <c r="AR562" s="30" t="s">
        <v>1006</v>
      </c>
      <c r="AS562" s="30" t="n">
        <v>17.35</v>
      </c>
      <c r="AT562" s="30" t="s">
        <v>1006</v>
      </c>
      <c r="AU562" s="30" t="n">
        <v>127.92</v>
      </c>
      <c r="AV562" s="30" t="n">
        <v>0.09431</v>
      </c>
      <c r="AW562" s="30"/>
      <c r="AX562" s="30" t="s">
        <v>1008</v>
      </c>
      <c r="AY562" s="30"/>
      <c r="AZ562" s="30"/>
    </row>
    <row collapsed="false" customFormat="true" customHeight="true" hidden="false" ht="33" outlineLevel="0" r="563" s="73">
      <c r="A563" s="30" t="n">
        <v>615</v>
      </c>
      <c r="B563" s="30" t="s">
        <v>848</v>
      </c>
      <c r="C563" s="30" t="s">
        <v>1009</v>
      </c>
      <c r="D563" s="30" t="s">
        <v>999</v>
      </c>
      <c r="E563" s="30" t="s">
        <v>1010</v>
      </c>
      <c r="F563" s="30" t="s">
        <v>1011</v>
      </c>
      <c r="G563" s="30" t="s">
        <v>1002</v>
      </c>
      <c r="H563" s="30" t="s">
        <v>1003</v>
      </c>
      <c r="I563" s="30" t="n">
        <v>0</v>
      </c>
      <c r="J563" s="30"/>
      <c r="K563" s="30" t="n">
        <v>57</v>
      </c>
      <c r="L563" s="30"/>
      <c r="M563" s="30" t="s">
        <v>1015</v>
      </c>
      <c r="N563" s="30" t="s">
        <v>54</v>
      </c>
      <c r="O563" s="30"/>
      <c r="P563" s="30"/>
      <c r="Q563" s="30"/>
      <c r="R563" s="30"/>
      <c r="S563" s="30"/>
      <c r="T563" s="30"/>
      <c r="U563" s="30" t="n">
        <v>189.94</v>
      </c>
      <c r="V563" s="30"/>
      <c r="W563" s="30" t="n">
        <v>14.12</v>
      </c>
      <c r="X563" s="30" t="s">
        <v>1006</v>
      </c>
      <c r="Y563" s="30" t="n">
        <v>14.12</v>
      </c>
      <c r="Z563" s="30" t="s">
        <v>1006</v>
      </c>
      <c r="AA563" s="30" t="n">
        <v>14.12</v>
      </c>
      <c r="AB563" s="30" t="s">
        <v>1006</v>
      </c>
      <c r="AC563" s="30" t="n">
        <v>14.12</v>
      </c>
      <c r="AD563" s="30" t="s">
        <v>1006</v>
      </c>
      <c r="AE563" s="30" t="n">
        <v>4.09</v>
      </c>
      <c r="AF563" s="30" t="s">
        <v>1006</v>
      </c>
      <c r="AG563" s="30" t="n">
        <v>0</v>
      </c>
      <c r="AH563" s="30" t="s">
        <v>1006</v>
      </c>
      <c r="AI563" s="30" t="n">
        <v>0</v>
      </c>
      <c r="AJ563" s="30" t="s">
        <v>1006</v>
      </c>
      <c r="AK563" s="30" t="n">
        <v>0</v>
      </c>
      <c r="AL563" s="30" t="s">
        <v>1006</v>
      </c>
      <c r="AM563" s="30" t="n">
        <v>0</v>
      </c>
      <c r="AN563" s="30" t="s">
        <v>1006</v>
      </c>
      <c r="AO563" s="30" t="n">
        <v>13.97</v>
      </c>
      <c r="AP563" s="30" t="s">
        <v>1006</v>
      </c>
      <c r="AQ563" s="30" t="n">
        <v>13.97</v>
      </c>
      <c r="AR563" s="30" t="s">
        <v>1006</v>
      </c>
      <c r="AS563" s="30" t="n">
        <v>13.97</v>
      </c>
      <c r="AT563" s="30" t="s">
        <v>1006</v>
      </c>
      <c r="AU563" s="30" t="n">
        <v>102.48</v>
      </c>
      <c r="AV563" s="30" t="n">
        <v>0.113</v>
      </c>
      <c r="AW563" s="30" t="s">
        <v>1016</v>
      </c>
      <c r="AX563" s="30" t="s">
        <v>1008</v>
      </c>
      <c r="AY563" s="30" t="n">
        <v>1</v>
      </c>
      <c r="AZ563" s="30"/>
    </row>
    <row collapsed="false" customFormat="true" customHeight="true" hidden="false" ht="33" outlineLevel="0" r="564" s="73">
      <c r="A564" s="30" t="n">
        <v>617</v>
      </c>
      <c r="B564" s="30" t="s">
        <v>850</v>
      </c>
      <c r="C564" s="30" t="s">
        <v>1009</v>
      </c>
      <c r="D564" s="30" t="s">
        <v>999</v>
      </c>
      <c r="E564" s="30" t="s">
        <v>1010</v>
      </c>
      <c r="F564" s="30" t="s">
        <v>1011</v>
      </c>
      <c r="G564" s="30" t="s">
        <v>1002</v>
      </c>
      <c r="H564" s="30" t="s">
        <v>1003</v>
      </c>
      <c r="I564" s="30" t="n">
        <v>1</v>
      </c>
      <c r="J564" s="30"/>
      <c r="K564" s="30" t="n">
        <v>57</v>
      </c>
      <c r="L564" s="30"/>
      <c r="M564" s="30" t="s">
        <v>1015</v>
      </c>
      <c r="N564" s="30" t="s">
        <v>54</v>
      </c>
      <c r="O564" s="30"/>
      <c r="P564" s="30"/>
      <c r="Q564" s="30"/>
      <c r="R564" s="30"/>
      <c r="S564" s="30"/>
      <c r="T564" s="30"/>
      <c r="U564" s="30" t="n">
        <v>340.44</v>
      </c>
      <c r="V564" s="30" t="n">
        <v>247.43</v>
      </c>
      <c r="W564" s="30" t="n">
        <v>24.53</v>
      </c>
      <c r="X564" s="30" t="s">
        <v>1006</v>
      </c>
      <c r="Y564" s="30" t="n">
        <v>24.53</v>
      </c>
      <c r="Z564" s="30" t="s">
        <v>1006</v>
      </c>
      <c r="AA564" s="30" t="n">
        <v>32.17</v>
      </c>
      <c r="AB564" s="30" t="s">
        <v>1005</v>
      </c>
      <c r="AC564" s="30" t="n">
        <v>22.16</v>
      </c>
      <c r="AD564" s="30" t="s">
        <v>1005</v>
      </c>
      <c r="AE564" s="30" t="n">
        <v>3.55</v>
      </c>
      <c r="AF564" s="30" t="s">
        <v>1005</v>
      </c>
      <c r="AG564" s="30" t="n">
        <v>0</v>
      </c>
      <c r="AH564" s="30" t="s">
        <v>1005</v>
      </c>
      <c r="AI564" s="30" t="n">
        <v>0</v>
      </c>
      <c r="AJ564" s="30" t="s">
        <v>1005</v>
      </c>
      <c r="AK564" s="30" t="n">
        <v>0</v>
      </c>
      <c r="AL564" s="30" t="s">
        <v>1005</v>
      </c>
      <c r="AM564" s="30" t="n">
        <v>0</v>
      </c>
      <c r="AN564" s="30" t="s">
        <v>1005</v>
      </c>
      <c r="AO564" s="30" t="n">
        <v>28.16</v>
      </c>
      <c r="AP564" s="30" t="s">
        <v>1005</v>
      </c>
      <c r="AQ564" s="30" t="n">
        <v>23.49</v>
      </c>
      <c r="AR564" s="30" t="s">
        <v>1005</v>
      </c>
      <c r="AS564" s="30" t="n">
        <v>37.4</v>
      </c>
      <c r="AT564" s="30" t="s">
        <v>1005</v>
      </c>
      <c r="AU564" s="30" t="n">
        <v>195.99</v>
      </c>
      <c r="AV564" s="30" t="n">
        <v>0.203</v>
      </c>
      <c r="AW564" s="30" t="s">
        <v>1016</v>
      </c>
      <c r="AX564" s="30" t="s">
        <v>1008</v>
      </c>
      <c r="AY564" s="30" t="n">
        <v>1</v>
      </c>
      <c r="AZ564" s="30"/>
    </row>
    <row collapsed="false" customFormat="true" customHeight="true" hidden="false" ht="33" outlineLevel="0" r="565" s="73">
      <c r="A565" s="30" t="n">
        <v>618</v>
      </c>
      <c r="B565" s="30" t="s">
        <v>852</v>
      </c>
      <c r="C565" s="30" t="s">
        <v>1009</v>
      </c>
      <c r="D565" s="30" t="s">
        <v>999</v>
      </c>
      <c r="E565" s="30" t="s">
        <v>1010</v>
      </c>
      <c r="F565" s="30" t="s">
        <v>1011</v>
      </c>
      <c r="G565" s="30" t="s">
        <v>1002</v>
      </c>
      <c r="H565" s="30" t="s">
        <v>1003</v>
      </c>
      <c r="I565" s="30" t="n">
        <v>0</v>
      </c>
      <c r="J565" s="30"/>
      <c r="K565" s="30" t="n">
        <v>57</v>
      </c>
      <c r="L565" s="30"/>
      <c r="M565" s="30" t="s">
        <v>1012</v>
      </c>
      <c r="N565" s="30" t="s">
        <v>54</v>
      </c>
      <c r="O565" s="30"/>
      <c r="P565" s="30"/>
      <c r="Q565" s="30"/>
      <c r="R565" s="30"/>
      <c r="S565" s="30"/>
      <c r="T565" s="30"/>
      <c r="U565" s="30" t="n">
        <v>149.34</v>
      </c>
      <c r="V565" s="30" t="n">
        <v>149.34</v>
      </c>
      <c r="W565" s="30" t="n">
        <v>26.49</v>
      </c>
      <c r="X565" s="30" t="s">
        <v>1006</v>
      </c>
      <c r="Y565" s="30" t="n">
        <v>25.23</v>
      </c>
      <c r="Z565" s="30" t="s">
        <v>1006</v>
      </c>
      <c r="AA565" s="30" t="n">
        <v>25.23</v>
      </c>
      <c r="AB565" s="30" t="s">
        <v>1006</v>
      </c>
      <c r="AC565" s="30" t="n">
        <v>25.23</v>
      </c>
      <c r="AD565" s="30" t="s">
        <v>1006</v>
      </c>
      <c r="AE565" s="30" t="n">
        <v>7.33</v>
      </c>
      <c r="AF565" s="30" t="s">
        <v>1006</v>
      </c>
      <c r="AG565" s="30" t="n">
        <v>0</v>
      </c>
      <c r="AH565" s="30" t="s">
        <v>1006</v>
      </c>
      <c r="AI565" s="30" t="n">
        <v>0</v>
      </c>
      <c r="AJ565" s="30" t="s">
        <v>1006</v>
      </c>
      <c r="AK565" s="30" t="n">
        <v>0</v>
      </c>
      <c r="AL565" s="30" t="s">
        <v>1006</v>
      </c>
      <c r="AM565" s="30" t="n">
        <v>0</v>
      </c>
      <c r="AN565" s="30" t="s">
        <v>1006</v>
      </c>
      <c r="AO565" s="30" t="n">
        <v>24.62</v>
      </c>
      <c r="AP565" s="30" t="s">
        <v>1006</v>
      </c>
      <c r="AQ565" s="30" t="n">
        <v>24.62</v>
      </c>
      <c r="AR565" s="30" t="s">
        <v>1006</v>
      </c>
      <c r="AS565" s="30" t="n">
        <v>24.62</v>
      </c>
      <c r="AT565" s="30" t="s">
        <v>1006</v>
      </c>
      <c r="AU565" s="30" t="n">
        <v>183.37</v>
      </c>
      <c r="AV565" s="30" t="n">
        <v>0.08772</v>
      </c>
      <c r="AW565" s="30" t="s">
        <v>1013</v>
      </c>
      <c r="AX565" s="30" t="s">
        <v>1008</v>
      </c>
      <c r="AY565" s="30" t="n">
        <v>1</v>
      </c>
      <c r="AZ565" s="30"/>
    </row>
    <row collapsed="false" customFormat="true" customHeight="true" hidden="false" ht="33" outlineLevel="0" r="566" s="73">
      <c r="A566" s="30" t="n">
        <v>619</v>
      </c>
      <c r="B566" s="30" t="s">
        <v>853</v>
      </c>
      <c r="C566" s="30" t="s">
        <v>1009</v>
      </c>
      <c r="D566" s="30" t="s">
        <v>999</v>
      </c>
      <c r="E566" s="30" t="s">
        <v>1010</v>
      </c>
      <c r="F566" s="30" t="s">
        <v>1011</v>
      </c>
      <c r="G566" s="30" t="s">
        <v>1002</v>
      </c>
      <c r="H566" s="30" t="s">
        <v>1003</v>
      </c>
      <c r="I566" s="30" t="n">
        <v>0</v>
      </c>
      <c r="J566" s="30"/>
      <c r="K566" s="30" t="n">
        <v>57</v>
      </c>
      <c r="L566" s="30"/>
      <c r="M566" s="30" t="s">
        <v>1012</v>
      </c>
      <c r="N566" s="30" t="s">
        <v>54</v>
      </c>
      <c r="O566" s="30"/>
      <c r="P566" s="30"/>
      <c r="Q566" s="30"/>
      <c r="R566" s="30"/>
      <c r="S566" s="30"/>
      <c r="T566" s="30"/>
      <c r="U566" s="30" t="n">
        <v>282.17</v>
      </c>
      <c r="V566" s="30" t="n">
        <v>282.17</v>
      </c>
      <c r="W566" s="30" t="n">
        <v>54.5</v>
      </c>
      <c r="X566" s="30" t="s">
        <v>1006</v>
      </c>
      <c r="Y566" s="30" t="n">
        <v>53.97</v>
      </c>
      <c r="Z566" s="30" t="s">
        <v>1006</v>
      </c>
      <c r="AA566" s="30" t="n">
        <v>53.97</v>
      </c>
      <c r="AB566" s="30" t="s">
        <v>1006</v>
      </c>
      <c r="AC566" s="30" t="n">
        <v>53.97</v>
      </c>
      <c r="AD566" s="30" t="s">
        <v>1006</v>
      </c>
      <c r="AE566" s="30" t="n">
        <v>15.67</v>
      </c>
      <c r="AF566" s="30" t="s">
        <v>1006</v>
      </c>
      <c r="AG566" s="30" t="n">
        <v>0</v>
      </c>
      <c r="AH566" s="30" t="s">
        <v>1006</v>
      </c>
      <c r="AI566" s="30" t="n">
        <v>0</v>
      </c>
      <c r="AJ566" s="30" t="s">
        <v>1006</v>
      </c>
      <c r="AK566" s="30" t="n">
        <v>0</v>
      </c>
      <c r="AL566" s="30" t="s">
        <v>1006</v>
      </c>
      <c r="AM566" s="30" t="n">
        <v>0</v>
      </c>
      <c r="AN566" s="30" t="s">
        <v>1006</v>
      </c>
      <c r="AO566" s="30" t="n">
        <v>52.31</v>
      </c>
      <c r="AP566" s="30" t="s">
        <v>1006</v>
      </c>
      <c r="AQ566" s="30" t="n">
        <v>51.84</v>
      </c>
      <c r="AR566" s="30" t="s">
        <v>1006</v>
      </c>
      <c r="AS566" s="30" t="n">
        <v>51.84</v>
      </c>
      <c r="AT566" s="30" t="s">
        <v>1006</v>
      </c>
      <c r="AU566" s="30" t="n">
        <v>388.07</v>
      </c>
      <c r="AV566" s="30" t="n">
        <v>0.16386</v>
      </c>
      <c r="AW566" s="30" t="s">
        <v>1013</v>
      </c>
      <c r="AX566" s="30" t="s">
        <v>1008</v>
      </c>
      <c r="AY566" s="30" t="n">
        <v>1</v>
      </c>
      <c r="AZ566" s="30"/>
    </row>
    <row collapsed="false" customFormat="true" customHeight="true" hidden="false" ht="33" outlineLevel="0" r="567" s="73">
      <c r="A567" s="30" t="n">
        <v>620</v>
      </c>
      <c r="B567" s="30" t="s">
        <v>854</v>
      </c>
      <c r="C567" s="30" t="s">
        <v>1009</v>
      </c>
      <c r="D567" s="30" t="s">
        <v>999</v>
      </c>
      <c r="E567" s="30" t="s">
        <v>1010</v>
      </c>
      <c r="F567" s="30" t="s">
        <v>1011</v>
      </c>
      <c r="G567" s="30" t="s">
        <v>1002</v>
      </c>
      <c r="H567" s="30" t="s">
        <v>1003</v>
      </c>
      <c r="I567" s="30" t="n">
        <v>0</v>
      </c>
      <c r="J567" s="30"/>
      <c r="K567" s="30" t="n">
        <v>57</v>
      </c>
      <c r="L567" s="30"/>
      <c r="M567" s="30" t="s">
        <v>1012</v>
      </c>
      <c r="N567" s="30" t="s">
        <v>54</v>
      </c>
      <c r="O567" s="30"/>
      <c r="P567" s="30"/>
      <c r="Q567" s="30"/>
      <c r="R567" s="30"/>
      <c r="S567" s="30"/>
      <c r="T567" s="30"/>
      <c r="U567" s="30" t="n">
        <v>312.8</v>
      </c>
      <c r="V567" s="30" t="n">
        <v>312.8</v>
      </c>
      <c r="W567" s="30" t="n">
        <v>58.2</v>
      </c>
      <c r="X567" s="30" t="s">
        <v>1006</v>
      </c>
      <c r="Y567" s="30" t="n">
        <v>58.2</v>
      </c>
      <c r="Z567" s="30" t="s">
        <v>1006</v>
      </c>
      <c r="AA567" s="30" t="n">
        <v>58.2</v>
      </c>
      <c r="AB567" s="30" t="s">
        <v>1006</v>
      </c>
      <c r="AC567" s="30" t="n">
        <v>58.2</v>
      </c>
      <c r="AD567" s="30" t="s">
        <v>1006</v>
      </c>
      <c r="AE567" s="30" t="n">
        <v>16.9</v>
      </c>
      <c r="AF567" s="30" t="s">
        <v>1006</v>
      </c>
      <c r="AG567" s="30" t="n">
        <v>0</v>
      </c>
      <c r="AH567" s="30" t="s">
        <v>1006</v>
      </c>
      <c r="AI567" s="30" t="n">
        <v>0</v>
      </c>
      <c r="AJ567" s="30" t="s">
        <v>1006</v>
      </c>
      <c r="AK567" s="30" t="n">
        <v>0</v>
      </c>
      <c r="AL567" s="30" t="s">
        <v>1006</v>
      </c>
      <c r="AM567" s="30" t="n">
        <v>0</v>
      </c>
      <c r="AN567" s="30" t="s">
        <v>1006</v>
      </c>
      <c r="AO567" s="30" t="n">
        <v>56.22</v>
      </c>
      <c r="AP567" s="30" t="s">
        <v>1006</v>
      </c>
      <c r="AQ567" s="30" t="n">
        <v>56.22</v>
      </c>
      <c r="AR567" s="30" t="s">
        <v>1006</v>
      </c>
      <c r="AS567" s="30" t="n">
        <v>56.22</v>
      </c>
      <c r="AT567" s="30" t="s">
        <v>1006</v>
      </c>
      <c r="AU567" s="30" t="n">
        <v>418.36</v>
      </c>
      <c r="AV567" s="30" t="n">
        <v>0.182</v>
      </c>
      <c r="AW567" s="30" t="s">
        <v>1013</v>
      </c>
      <c r="AX567" s="30" t="s">
        <v>1008</v>
      </c>
      <c r="AY567" s="30" t="n">
        <v>1</v>
      </c>
      <c r="AZ567" s="30"/>
    </row>
    <row collapsed="false" customFormat="true" customHeight="true" hidden="false" ht="33" outlineLevel="0" r="568" s="73">
      <c r="A568" s="30" t="n">
        <v>621</v>
      </c>
      <c r="B568" s="30" t="s">
        <v>855</v>
      </c>
      <c r="C568" s="30" t="s">
        <v>1009</v>
      </c>
      <c r="D568" s="30" t="s">
        <v>999</v>
      </c>
      <c r="E568" s="30" t="s">
        <v>1010</v>
      </c>
      <c r="F568" s="30" t="s">
        <v>1011</v>
      </c>
      <c r="G568" s="30" t="s">
        <v>1002</v>
      </c>
      <c r="H568" s="30" t="s">
        <v>1003</v>
      </c>
      <c r="I568" s="30" t="n">
        <v>0</v>
      </c>
      <c r="J568" s="30"/>
      <c r="K568" s="30" t="n">
        <v>57</v>
      </c>
      <c r="L568" s="30"/>
      <c r="M568" s="30" t="s">
        <v>1012</v>
      </c>
      <c r="N568" s="30" t="s">
        <v>54</v>
      </c>
      <c r="O568" s="30"/>
      <c r="P568" s="30"/>
      <c r="Q568" s="30"/>
      <c r="R568" s="30"/>
      <c r="S568" s="30"/>
      <c r="T568" s="30"/>
      <c r="U568" s="30" t="n">
        <v>385.04</v>
      </c>
      <c r="V568" s="30" t="n">
        <v>385.04</v>
      </c>
      <c r="W568" s="30" t="n">
        <v>52.54</v>
      </c>
      <c r="X568" s="30" t="s">
        <v>1006</v>
      </c>
      <c r="Y568" s="30" t="n">
        <v>52.54</v>
      </c>
      <c r="Z568" s="30" t="s">
        <v>1006</v>
      </c>
      <c r="AA568" s="30" t="n">
        <v>52.54</v>
      </c>
      <c r="AB568" s="30" t="s">
        <v>1006</v>
      </c>
      <c r="AC568" s="30" t="n">
        <v>52.24</v>
      </c>
      <c r="AD568" s="30" t="s">
        <v>1006</v>
      </c>
      <c r="AE568" s="30" t="n">
        <v>15.26</v>
      </c>
      <c r="AF568" s="30" t="s">
        <v>1006</v>
      </c>
      <c r="AG568" s="30" t="n">
        <v>0</v>
      </c>
      <c r="AH568" s="30" t="s">
        <v>1006</v>
      </c>
      <c r="AI568" s="30" t="n">
        <v>0</v>
      </c>
      <c r="AJ568" s="30" t="s">
        <v>1006</v>
      </c>
      <c r="AK568" s="30" t="n">
        <v>0</v>
      </c>
      <c r="AL568" s="30" t="s">
        <v>1006</v>
      </c>
      <c r="AM568" s="30" t="n">
        <v>0</v>
      </c>
      <c r="AN568" s="30" t="s">
        <v>1006</v>
      </c>
      <c r="AO568" s="30" t="n">
        <v>50.88</v>
      </c>
      <c r="AP568" s="30" t="s">
        <v>1006</v>
      </c>
      <c r="AQ568" s="30" t="n">
        <v>50.88</v>
      </c>
      <c r="AR568" s="30" t="s">
        <v>1006</v>
      </c>
      <c r="AS568" s="30" t="n">
        <v>50.88</v>
      </c>
      <c r="AT568" s="30" t="s">
        <v>1006</v>
      </c>
      <c r="AU568" s="30" t="n">
        <v>377.76</v>
      </c>
      <c r="AV568" s="30" t="n">
        <v>0.16648</v>
      </c>
      <c r="AW568" s="30" t="s">
        <v>1013</v>
      </c>
      <c r="AX568" s="30" t="s">
        <v>1008</v>
      </c>
      <c r="AY568" s="30" t="n">
        <v>2</v>
      </c>
      <c r="AZ568" s="30"/>
    </row>
    <row collapsed="false" customFormat="true" customHeight="true" hidden="false" ht="33" outlineLevel="0" r="569" s="73">
      <c r="A569" s="30" t="n">
        <v>622</v>
      </c>
      <c r="B569" s="30" t="s">
        <v>856</v>
      </c>
      <c r="C569" s="30" t="s">
        <v>1009</v>
      </c>
      <c r="D569" s="30" t="s">
        <v>999</v>
      </c>
      <c r="E569" s="30" t="s">
        <v>1010</v>
      </c>
      <c r="F569" s="30" t="s">
        <v>1011</v>
      </c>
      <c r="G569" s="30" t="s">
        <v>1002</v>
      </c>
      <c r="H569" s="30" t="s">
        <v>1003</v>
      </c>
      <c r="I569" s="30" t="n">
        <v>0</v>
      </c>
      <c r="J569" s="30"/>
      <c r="K569" s="30" t="n">
        <v>57</v>
      </c>
      <c r="L569" s="30"/>
      <c r="M569" s="30" t="s">
        <v>1012</v>
      </c>
      <c r="N569" s="30" t="s">
        <v>54</v>
      </c>
      <c r="O569" s="30"/>
      <c r="P569" s="30"/>
      <c r="Q569" s="30"/>
      <c r="R569" s="30"/>
      <c r="S569" s="30"/>
      <c r="T569" s="30"/>
      <c r="U569" s="30" t="n">
        <v>275.67</v>
      </c>
      <c r="V569" s="30" t="n">
        <v>275.67</v>
      </c>
      <c r="W569" s="30" t="n">
        <v>58.87</v>
      </c>
      <c r="X569" s="30" t="s">
        <v>1006</v>
      </c>
      <c r="Y569" s="30" t="n">
        <v>58.34</v>
      </c>
      <c r="Z569" s="30" t="s">
        <v>1006</v>
      </c>
      <c r="AA569" s="30" t="n">
        <v>58.69</v>
      </c>
      <c r="AB569" s="30" t="s">
        <v>1006</v>
      </c>
      <c r="AC569" s="30" t="n">
        <v>58.15</v>
      </c>
      <c r="AD569" s="30" t="s">
        <v>1006</v>
      </c>
      <c r="AE569" s="30" t="n">
        <v>16.52</v>
      </c>
      <c r="AF569" s="30" t="s">
        <v>1006</v>
      </c>
      <c r="AG569" s="30" t="n">
        <v>0</v>
      </c>
      <c r="AH569" s="30" t="s">
        <v>1006</v>
      </c>
      <c r="AI569" s="30" t="n">
        <v>0</v>
      </c>
      <c r="AJ569" s="30" t="s">
        <v>1006</v>
      </c>
      <c r="AK569" s="30" t="n">
        <v>0</v>
      </c>
      <c r="AL569" s="30" t="s">
        <v>1006</v>
      </c>
      <c r="AM569" s="30" t="n">
        <v>0</v>
      </c>
      <c r="AN569" s="30" t="s">
        <v>1006</v>
      </c>
      <c r="AO569" s="30" t="n">
        <v>53.61</v>
      </c>
      <c r="AP569" s="30" t="s">
        <v>1006</v>
      </c>
      <c r="AQ569" s="30" t="n">
        <v>53.61</v>
      </c>
      <c r="AR569" s="30" t="s">
        <v>1006</v>
      </c>
      <c r="AS569" s="30" t="n">
        <v>53.61</v>
      </c>
      <c r="AT569" s="30" t="s">
        <v>1006</v>
      </c>
      <c r="AU569" s="30" t="n">
        <v>411.4</v>
      </c>
      <c r="AV569" s="30" t="n">
        <v>0.15658</v>
      </c>
      <c r="AW569" s="30" t="s">
        <v>1013</v>
      </c>
      <c r="AX569" s="30" t="s">
        <v>1008</v>
      </c>
      <c r="AY569" s="30" t="n">
        <v>1</v>
      </c>
      <c r="AZ569" s="30"/>
    </row>
    <row collapsed="false" customFormat="true" customHeight="true" hidden="false" ht="33" outlineLevel="0" r="570" s="73">
      <c r="A570" s="30" t="n">
        <v>623</v>
      </c>
      <c r="B570" s="30" t="s">
        <v>857</v>
      </c>
      <c r="C570" s="30" t="s">
        <v>1009</v>
      </c>
      <c r="D570" s="30" t="s">
        <v>999</v>
      </c>
      <c r="E570" s="30" t="s">
        <v>1010</v>
      </c>
      <c r="F570" s="30" t="s">
        <v>1011</v>
      </c>
      <c r="G570" s="30" t="s">
        <v>1002</v>
      </c>
      <c r="H570" s="30" t="s">
        <v>1003</v>
      </c>
      <c r="I570" s="30" t="n">
        <v>1</v>
      </c>
      <c r="J570" s="30"/>
      <c r="K570" s="30" t="n">
        <v>76</v>
      </c>
      <c r="L570" s="30"/>
      <c r="M570" s="30" t="s">
        <v>1012</v>
      </c>
      <c r="N570" s="30" t="s">
        <v>54</v>
      </c>
      <c r="O570" s="30"/>
      <c r="P570" s="30"/>
      <c r="Q570" s="30"/>
      <c r="R570" s="30"/>
      <c r="S570" s="30"/>
      <c r="T570" s="30"/>
      <c r="U570" s="30" t="n">
        <v>548.05</v>
      </c>
      <c r="V570" s="30" t="n">
        <v>679.97</v>
      </c>
      <c r="W570" s="30" t="n">
        <v>154.76</v>
      </c>
      <c r="X570" s="30" t="s">
        <v>1005</v>
      </c>
      <c r="Y570" s="30" t="n">
        <v>106.73</v>
      </c>
      <c r="Z570" s="30" t="s">
        <v>1005</v>
      </c>
      <c r="AA570" s="30" t="n">
        <v>99.91</v>
      </c>
      <c r="AB570" s="30" t="s">
        <v>1006</v>
      </c>
      <c r="AC570" s="30" t="n">
        <v>61.57</v>
      </c>
      <c r="AD570" s="30" t="s">
        <v>1005</v>
      </c>
      <c r="AE570" s="30" t="n">
        <v>28.31</v>
      </c>
      <c r="AF570" s="30" t="s">
        <v>1005</v>
      </c>
      <c r="AG570" s="30" t="n">
        <v>0</v>
      </c>
      <c r="AH570" s="30" t="s">
        <v>1005</v>
      </c>
      <c r="AI570" s="30" t="n">
        <v>0</v>
      </c>
      <c r="AJ570" s="30" t="s">
        <v>1005</v>
      </c>
      <c r="AK570" s="30" t="n">
        <v>0</v>
      </c>
      <c r="AL570" s="30" t="s">
        <v>1005</v>
      </c>
      <c r="AM570" s="30" t="n">
        <v>0</v>
      </c>
      <c r="AN570" s="30" t="s">
        <v>1005</v>
      </c>
      <c r="AO570" s="30" t="n">
        <v>97.6</v>
      </c>
      <c r="AP570" s="30" t="s">
        <v>1006</v>
      </c>
      <c r="AQ570" s="30" t="n">
        <v>44.48</v>
      </c>
      <c r="AR570" s="30" t="s">
        <v>1005</v>
      </c>
      <c r="AS570" s="30" t="n">
        <v>84.47</v>
      </c>
      <c r="AT570" s="30" t="s">
        <v>1005</v>
      </c>
      <c r="AU570" s="30" t="n">
        <v>677.83</v>
      </c>
      <c r="AV570" s="30" t="n">
        <v>0.33118</v>
      </c>
      <c r="AW570" s="30" t="s">
        <v>1013</v>
      </c>
      <c r="AX570" s="30" t="s">
        <v>1008</v>
      </c>
      <c r="AY570" s="30" t="n">
        <v>1</v>
      </c>
      <c r="AZ570" s="30"/>
    </row>
    <row collapsed="false" customFormat="true" customHeight="true" hidden="false" ht="33" outlineLevel="0" r="571" s="73">
      <c r="A571" s="30" t="n">
        <v>624</v>
      </c>
      <c r="B571" s="30" t="s">
        <v>858</v>
      </c>
      <c r="C571" s="30" t="s">
        <v>1009</v>
      </c>
      <c r="D571" s="30" t="s">
        <v>999</v>
      </c>
      <c r="E571" s="30" t="s">
        <v>1010</v>
      </c>
      <c r="F571" s="30" t="s">
        <v>1011</v>
      </c>
      <c r="G571" s="30" t="s">
        <v>1002</v>
      </c>
      <c r="H571" s="30" t="s">
        <v>1003</v>
      </c>
      <c r="I571" s="30" t="n">
        <v>1</v>
      </c>
      <c r="J571" s="30"/>
      <c r="K571" s="30" t="n">
        <v>76</v>
      </c>
      <c r="L571" s="30"/>
      <c r="M571" s="30" t="s">
        <v>1012</v>
      </c>
      <c r="N571" s="30" t="s">
        <v>54</v>
      </c>
      <c r="O571" s="30"/>
      <c r="P571" s="30"/>
      <c r="Q571" s="30"/>
      <c r="R571" s="30"/>
      <c r="S571" s="30"/>
      <c r="T571" s="30"/>
      <c r="U571" s="30" t="n">
        <v>684.23</v>
      </c>
      <c r="V571" s="30" t="n">
        <v>1018.84</v>
      </c>
      <c r="W571" s="30" t="n">
        <v>121.93</v>
      </c>
      <c r="X571" s="30" t="s">
        <v>1006</v>
      </c>
      <c r="Y571" s="30" t="n">
        <v>130.64</v>
      </c>
      <c r="Z571" s="30" t="s">
        <v>1005</v>
      </c>
      <c r="AA571" s="30" t="n">
        <v>121.93</v>
      </c>
      <c r="AB571" s="30" t="s">
        <v>1006</v>
      </c>
      <c r="AC571" s="30" t="n">
        <v>75.22</v>
      </c>
      <c r="AD571" s="30" t="s">
        <v>1005</v>
      </c>
      <c r="AE571" s="30" t="n">
        <v>39.55</v>
      </c>
      <c r="AF571" s="30" t="s">
        <v>1005</v>
      </c>
      <c r="AG571" s="30" t="n">
        <v>0</v>
      </c>
      <c r="AH571" s="30" t="s">
        <v>1005</v>
      </c>
      <c r="AI571" s="30" t="n">
        <v>0</v>
      </c>
      <c r="AJ571" s="30" t="s">
        <v>1005</v>
      </c>
      <c r="AK571" s="30" t="n">
        <v>0</v>
      </c>
      <c r="AL571" s="30" t="s">
        <v>1005</v>
      </c>
      <c r="AM571" s="30" t="n">
        <v>0</v>
      </c>
      <c r="AN571" s="30" t="s">
        <v>1005</v>
      </c>
      <c r="AO571" s="30" t="n">
        <v>116.59</v>
      </c>
      <c r="AP571" s="30" t="s">
        <v>1006</v>
      </c>
      <c r="AQ571" s="30" t="n">
        <v>61.97</v>
      </c>
      <c r="AR571" s="30" t="s">
        <v>1005</v>
      </c>
      <c r="AS571" s="30" t="n">
        <v>111.86</v>
      </c>
      <c r="AT571" s="30" t="s">
        <v>1005</v>
      </c>
      <c r="AU571" s="30" t="n">
        <v>779.69</v>
      </c>
      <c r="AV571" s="30" t="n">
        <v>0.39391</v>
      </c>
      <c r="AW571" s="30" t="s">
        <v>1013</v>
      </c>
      <c r="AX571" s="30" t="s">
        <v>1008</v>
      </c>
      <c r="AY571" s="30" t="n">
        <v>1</v>
      </c>
      <c r="AZ571" s="30"/>
    </row>
    <row collapsed="false" customFormat="true" customHeight="true" hidden="false" ht="33" outlineLevel="0" r="572" s="73">
      <c r="A572" s="30" t="n">
        <v>625</v>
      </c>
      <c r="B572" s="30" t="s">
        <v>859</v>
      </c>
      <c r="C572" s="30" t="s">
        <v>1009</v>
      </c>
      <c r="D572" s="30" t="s">
        <v>999</v>
      </c>
      <c r="E572" s="30" t="s">
        <v>1010</v>
      </c>
      <c r="F572" s="30" t="s">
        <v>1011</v>
      </c>
      <c r="G572" s="30" t="s">
        <v>1002</v>
      </c>
      <c r="H572" s="30" t="s">
        <v>1003</v>
      </c>
      <c r="I572" s="30" t="n">
        <v>1</v>
      </c>
      <c r="J572" s="30"/>
      <c r="K572" s="30" t="n">
        <v>76</v>
      </c>
      <c r="L572" s="30"/>
      <c r="M572" s="30" t="s">
        <v>1012</v>
      </c>
      <c r="N572" s="30" t="s">
        <v>54</v>
      </c>
      <c r="O572" s="30"/>
      <c r="P572" s="30"/>
      <c r="Q572" s="30"/>
      <c r="R572" s="30"/>
      <c r="S572" s="30"/>
      <c r="T572" s="30"/>
      <c r="U572" s="30" t="n">
        <v>455.62</v>
      </c>
      <c r="V572" s="30" t="n">
        <v>455.62</v>
      </c>
      <c r="W572" s="30" t="n">
        <v>80.15</v>
      </c>
      <c r="X572" s="30" t="s">
        <v>1006</v>
      </c>
      <c r="Y572" s="30" t="n">
        <v>78.24</v>
      </c>
      <c r="Z572" s="30" t="s">
        <v>1006</v>
      </c>
      <c r="AA572" s="30" t="n">
        <v>78.24</v>
      </c>
      <c r="AB572" s="30" t="s">
        <v>1006</v>
      </c>
      <c r="AC572" s="30" t="n">
        <v>78.24</v>
      </c>
      <c r="AD572" s="30" t="s">
        <v>1006</v>
      </c>
      <c r="AE572" s="30" t="n">
        <v>22.72</v>
      </c>
      <c r="AF572" s="30" t="s">
        <v>1006</v>
      </c>
      <c r="AG572" s="30" t="n">
        <v>0</v>
      </c>
      <c r="AH572" s="30" t="s">
        <v>1006</v>
      </c>
      <c r="AI572" s="30" t="n">
        <v>0</v>
      </c>
      <c r="AJ572" s="30" t="s">
        <v>1006</v>
      </c>
      <c r="AK572" s="30" t="n">
        <v>0</v>
      </c>
      <c r="AL572" s="30" t="s">
        <v>1006</v>
      </c>
      <c r="AM572" s="30" t="n">
        <v>0</v>
      </c>
      <c r="AN572" s="30" t="s">
        <v>1006</v>
      </c>
      <c r="AO572" s="30" t="n">
        <v>77.72</v>
      </c>
      <c r="AP572" s="30" t="s">
        <v>1006</v>
      </c>
      <c r="AQ572" s="30" t="n">
        <v>37.32</v>
      </c>
      <c r="AR572" s="30" t="s">
        <v>1005</v>
      </c>
      <c r="AS572" s="30" t="n">
        <v>79.37</v>
      </c>
      <c r="AT572" s="30" t="s">
        <v>1005</v>
      </c>
      <c r="AU572" s="30" t="n">
        <v>532</v>
      </c>
      <c r="AV572" s="30" t="n">
        <v>0.265</v>
      </c>
      <c r="AW572" s="30" t="s">
        <v>1013</v>
      </c>
      <c r="AX572" s="30" t="s">
        <v>1008</v>
      </c>
      <c r="AY572" s="30" t="n">
        <v>1</v>
      </c>
      <c r="AZ572" s="30"/>
    </row>
    <row collapsed="false" customFormat="true" customHeight="true" hidden="false" ht="33" outlineLevel="0" r="573" s="73">
      <c r="A573" s="30" t="n">
        <v>626</v>
      </c>
      <c r="B573" s="30" t="s">
        <v>860</v>
      </c>
      <c r="C573" s="30" t="s">
        <v>1009</v>
      </c>
      <c r="D573" s="30" t="s">
        <v>999</v>
      </c>
      <c r="E573" s="30" t="s">
        <v>1010</v>
      </c>
      <c r="F573" s="30" t="s">
        <v>1011</v>
      </c>
      <c r="G573" s="30" t="s">
        <v>1002</v>
      </c>
      <c r="H573" s="30" t="s">
        <v>1003</v>
      </c>
      <c r="I573" s="30" t="n">
        <v>1</v>
      </c>
      <c r="J573" s="30"/>
      <c r="K573" s="30" t="n">
        <v>76</v>
      </c>
      <c r="L573" s="30"/>
      <c r="M573" s="30" t="s">
        <v>1012</v>
      </c>
      <c r="N573" s="30" t="s">
        <v>54</v>
      </c>
      <c r="O573" s="30"/>
      <c r="P573" s="30"/>
      <c r="Q573" s="30"/>
      <c r="R573" s="30"/>
      <c r="S573" s="30"/>
      <c r="T573" s="30"/>
      <c r="U573" s="30" t="n">
        <v>749.36</v>
      </c>
      <c r="V573" s="30" t="n">
        <v>749.36</v>
      </c>
      <c r="W573" s="30" t="n">
        <v>118.5</v>
      </c>
      <c r="X573" s="30" t="s">
        <v>1006</v>
      </c>
      <c r="Y573" s="30" t="n">
        <v>118.75</v>
      </c>
      <c r="Z573" s="30" t="s">
        <v>1006</v>
      </c>
      <c r="AA573" s="30" t="n">
        <v>118.75</v>
      </c>
      <c r="AB573" s="30" t="s">
        <v>1006</v>
      </c>
      <c r="AC573" s="30" t="n">
        <v>118.75</v>
      </c>
      <c r="AD573" s="30" t="s">
        <v>1006</v>
      </c>
      <c r="AE573" s="30" t="n">
        <v>34.48</v>
      </c>
      <c r="AF573" s="30" t="s">
        <v>1006</v>
      </c>
      <c r="AG573" s="30" t="n">
        <v>0</v>
      </c>
      <c r="AH573" s="30" t="s">
        <v>1006</v>
      </c>
      <c r="AI573" s="30" t="n">
        <v>0</v>
      </c>
      <c r="AJ573" s="30" t="s">
        <v>1006</v>
      </c>
      <c r="AK573" s="30" t="n">
        <v>0</v>
      </c>
      <c r="AL573" s="30" t="s">
        <v>1006</v>
      </c>
      <c r="AM573" s="30" t="n">
        <v>0</v>
      </c>
      <c r="AN573" s="30" t="s">
        <v>1006</v>
      </c>
      <c r="AO573" s="30" t="n">
        <v>117.98</v>
      </c>
      <c r="AP573" s="30" t="s">
        <v>1006</v>
      </c>
      <c r="AQ573" s="30" t="n">
        <v>117.98</v>
      </c>
      <c r="AR573" s="30" t="s">
        <v>1006</v>
      </c>
      <c r="AS573" s="30" t="n">
        <v>81.26</v>
      </c>
      <c r="AT573" s="30" t="s">
        <v>1005</v>
      </c>
      <c r="AU573" s="30" t="n">
        <v>826.45</v>
      </c>
      <c r="AV573" s="30" t="n">
        <v>0.436</v>
      </c>
      <c r="AW573" s="30" t="s">
        <v>1013</v>
      </c>
      <c r="AX573" s="30" t="s">
        <v>1008</v>
      </c>
      <c r="AY573" s="30" t="n">
        <v>1</v>
      </c>
      <c r="AZ573" s="30"/>
    </row>
    <row collapsed="false" customFormat="true" customHeight="true" hidden="false" ht="33" outlineLevel="0" r="574" s="73">
      <c r="A574" s="30" t="n">
        <v>627</v>
      </c>
      <c r="B574" s="30" t="s">
        <v>861</v>
      </c>
      <c r="C574" s="30" t="s">
        <v>1009</v>
      </c>
      <c r="D574" s="30" t="s">
        <v>999</v>
      </c>
      <c r="E574" s="30" t="s">
        <v>1010</v>
      </c>
      <c r="F574" s="30" t="s">
        <v>1011</v>
      </c>
      <c r="G574" s="30" t="s">
        <v>1002</v>
      </c>
      <c r="H574" s="30" t="s">
        <v>1003</v>
      </c>
      <c r="I574" s="30" t="n">
        <v>1</v>
      </c>
      <c r="J574" s="30"/>
      <c r="K574" s="30" t="n">
        <v>76</v>
      </c>
      <c r="L574" s="30"/>
      <c r="M574" s="30" t="s">
        <v>1012</v>
      </c>
      <c r="N574" s="30" t="s">
        <v>54</v>
      </c>
      <c r="O574" s="30"/>
      <c r="P574" s="30"/>
      <c r="Q574" s="30"/>
      <c r="R574" s="30"/>
      <c r="S574" s="30"/>
      <c r="T574" s="30"/>
      <c r="U574" s="30" t="n">
        <v>644.75</v>
      </c>
      <c r="V574" s="30" t="n">
        <v>644.75</v>
      </c>
      <c r="W574" s="30" t="n">
        <v>97.8</v>
      </c>
      <c r="X574" s="30" t="s">
        <v>1006</v>
      </c>
      <c r="Y574" s="30" t="n">
        <v>97.8</v>
      </c>
      <c r="Z574" s="30" t="s">
        <v>1006</v>
      </c>
      <c r="AA574" s="30" t="n">
        <v>97.8</v>
      </c>
      <c r="AB574" s="30" t="s">
        <v>1006</v>
      </c>
      <c r="AC574" s="30" t="n">
        <v>97.8</v>
      </c>
      <c r="AD574" s="30" t="s">
        <v>1006</v>
      </c>
      <c r="AE574" s="30" t="n">
        <v>38.39</v>
      </c>
      <c r="AF574" s="30" t="s">
        <v>1006</v>
      </c>
      <c r="AG574" s="30" t="n">
        <v>0</v>
      </c>
      <c r="AH574" s="30" t="s">
        <v>1006</v>
      </c>
      <c r="AI574" s="30" t="n">
        <v>0</v>
      </c>
      <c r="AJ574" s="30" t="s">
        <v>1006</v>
      </c>
      <c r="AK574" s="30" t="n">
        <v>0</v>
      </c>
      <c r="AL574" s="30" t="s">
        <v>1006</v>
      </c>
      <c r="AM574" s="30" t="n">
        <v>0</v>
      </c>
      <c r="AN574" s="30" t="s">
        <v>1006</v>
      </c>
      <c r="AO574" s="30" t="n">
        <v>50.28</v>
      </c>
      <c r="AP574" s="30" t="s">
        <v>1005</v>
      </c>
      <c r="AQ574" s="30" t="n">
        <v>73.94</v>
      </c>
      <c r="AR574" s="30" t="s">
        <v>1005</v>
      </c>
      <c r="AS574" s="30" t="n">
        <v>102.19</v>
      </c>
      <c r="AT574" s="30" t="s">
        <v>1005</v>
      </c>
      <c r="AU574" s="30" t="n">
        <v>656</v>
      </c>
      <c r="AV574" s="30" t="n">
        <v>0.375</v>
      </c>
      <c r="AW574" s="30" t="s">
        <v>1013</v>
      </c>
      <c r="AX574" s="30" t="s">
        <v>1008</v>
      </c>
      <c r="AY574" s="30" t="n">
        <v>1</v>
      </c>
      <c r="AZ574" s="30"/>
    </row>
    <row collapsed="false" customFormat="true" customHeight="true" hidden="false" ht="33" outlineLevel="0" r="575" s="73">
      <c r="A575" s="30" t="n">
        <v>628</v>
      </c>
      <c r="B575" s="30" t="s">
        <v>863</v>
      </c>
      <c r="C575" s="30" t="s">
        <v>1009</v>
      </c>
      <c r="D575" s="30" t="s">
        <v>999</v>
      </c>
      <c r="E575" s="30" t="s">
        <v>1000</v>
      </c>
      <c r="F575" s="30" t="s">
        <v>1011</v>
      </c>
      <c r="G575" s="30" t="s">
        <v>1002</v>
      </c>
      <c r="H575" s="30" t="s">
        <v>1003</v>
      </c>
      <c r="I575" s="30" t="n">
        <v>1</v>
      </c>
      <c r="J575" s="30"/>
      <c r="K575" s="30" t="n">
        <v>65</v>
      </c>
      <c r="L575" s="30"/>
      <c r="M575" s="30" t="s">
        <v>1015</v>
      </c>
      <c r="N575" s="30" t="s">
        <v>53</v>
      </c>
      <c r="O575" s="30"/>
      <c r="P575" s="30"/>
      <c r="Q575" s="30"/>
      <c r="R575" s="30"/>
      <c r="S575" s="30"/>
      <c r="T575" s="30"/>
      <c r="U575" s="30" t="n">
        <v>535.39</v>
      </c>
      <c r="V575" s="30" t="n">
        <v>460.564</v>
      </c>
      <c r="W575" s="30" t="n">
        <v>86.32</v>
      </c>
      <c r="X575" s="30" t="s">
        <v>1006</v>
      </c>
      <c r="Y575" s="30" t="n">
        <v>82.99</v>
      </c>
      <c r="Z575" s="30" t="s">
        <v>1005</v>
      </c>
      <c r="AA575" s="30" t="n">
        <v>72.91</v>
      </c>
      <c r="AB575" s="30" t="s">
        <v>1006</v>
      </c>
      <c r="AC575" s="30" t="n">
        <v>42.29</v>
      </c>
      <c r="AD575" s="30" t="s">
        <v>1006</v>
      </c>
      <c r="AE575" s="30" t="n">
        <v>46.28</v>
      </c>
      <c r="AF575" s="30" t="s">
        <v>1006</v>
      </c>
      <c r="AG575" s="30" t="n">
        <v>25</v>
      </c>
      <c r="AH575" s="30" t="s">
        <v>1006</v>
      </c>
      <c r="AI575" s="30" t="n">
        <v>14.74</v>
      </c>
      <c r="AJ575" s="30" t="s">
        <v>1006</v>
      </c>
      <c r="AK575" s="30" t="n">
        <v>29.17</v>
      </c>
      <c r="AL575" s="30" t="s">
        <v>1006</v>
      </c>
      <c r="AM575" s="30" t="n">
        <v>17.17</v>
      </c>
      <c r="AN575" s="30" t="s">
        <v>1006</v>
      </c>
      <c r="AO575" s="30" t="n">
        <v>53.09</v>
      </c>
      <c r="AP575" s="30" t="s">
        <v>1005</v>
      </c>
      <c r="AQ575" s="30" t="n">
        <v>63.35</v>
      </c>
      <c r="AR575" s="30" t="s">
        <v>1005</v>
      </c>
      <c r="AS575" s="30" t="n">
        <v>83.08</v>
      </c>
      <c r="AT575" s="30" t="s">
        <v>1005</v>
      </c>
      <c r="AU575" s="30" t="n">
        <v>616.39</v>
      </c>
      <c r="AV575" s="30" t="n">
        <v>0.19244</v>
      </c>
      <c r="AW575" s="30" t="s">
        <v>1016</v>
      </c>
      <c r="AX575" s="30" t="s">
        <v>1008</v>
      </c>
      <c r="AY575" s="30" t="n">
        <v>1</v>
      </c>
      <c r="AZ575" s="30"/>
    </row>
    <row collapsed="false" customFormat="true" customHeight="true" hidden="false" ht="33" outlineLevel="0" r="576" s="73">
      <c r="A576" s="30" t="n">
        <v>629</v>
      </c>
      <c r="B576" s="30" t="s">
        <v>864</v>
      </c>
      <c r="C576" s="30" t="s">
        <v>1009</v>
      </c>
      <c r="D576" s="30" t="s">
        <v>999</v>
      </c>
      <c r="E576" s="30" t="s">
        <v>1000</v>
      </c>
      <c r="F576" s="30" t="s">
        <v>1011</v>
      </c>
      <c r="G576" s="30" t="s">
        <v>1002</v>
      </c>
      <c r="H576" s="30" t="s">
        <v>1003</v>
      </c>
      <c r="I576" s="30" t="n">
        <v>2</v>
      </c>
      <c r="J576" s="30"/>
      <c r="K576" s="30" t="n">
        <v>65</v>
      </c>
      <c r="L576" s="30"/>
      <c r="M576" s="30" t="s">
        <v>1015</v>
      </c>
      <c r="N576" s="30" t="s">
        <v>53</v>
      </c>
      <c r="O576" s="30"/>
      <c r="P576" s="30"/>
      <c r="Q576" s="30"/>
      <c r="R576" s="30"/>
      <c r="S576" s="30"/>
      <c r="T576" s="30"/>
      <c r="U576" s="30" t="n">
        <v>746.61</v>
      </c>
      <c r="V576" s="30" t="n">
        <v>1097.59</v>
      </c>
      <c r="W576" s="30" t="n">
        <v>123.32</v>
      </c>
      <c r="X576" s="30" t="s">
        <v>1005</v>
      </c>
      <c r="Y576" s="30" t="n">
        <v>125.67</v>
      </c>
      <c r="Z576" s="30" t="s">
        <v>1005</v>
      </c>
      <c r="AA576" s="30" t="n">
        <v>122.73</v>
      </c>
      <c r="AB576" s="30" t="s">
        <v>1005</v>
      </c>
      <c r="AC576" s="30" t="n">
        <v>98.23</v>
      </c>
      <c r="AD576" s="30" t="s">
        <v>1005</v>
      </c>
      <c r="AE576" s="30" t="n">
        <v>52.09</v>
      </c>
      <c r="AF576" s="30" t="s">
        <v>1005</v>
      </c>
      <c r="AG576" s="30" t="n">
        <v>35.93</v>
      </c>
      <c r="AH576" s="30" t="s">
        <v>1005</v>
      </c>
      <c r="AI576" s="30" t="n">
        <v>19.13</v>
      </c>
      <c r="AJ576" s="30" t="s">
        <v>1005</v>
      </c>
      <c r="AK576" s="30" t="n">
        <v>27.07</v>
      </c>
      <c r="AL576" s="30" t="s">
        <v>1005</v>
      </c>
      <c r="AM576" s="30" t="n">
        <v>32.03</v>
      </c>
      <c r="AN576" s="30" t="s">
        <v>1005</v>
      </c>
      <c r="AO576" s="30" t="n">
        <v>85.36</v>
      </c>
      <c r="AP576" s="30" t="s">
        <v>1005</v>
      </c>
      <c r="AQ576" s="30" t="n">
        <v>95.14</v>
      </c>
      <c r="AR576" s="30" t="s">
        <v>1005</v>
      </c>
      <c r="AS576" s="30" t="n">
        <v>123.76</v>
      </c>
      <c r="AT576" s="30" t="s">
        <v>1005</v>
      </c>
      <c r="AU576" s="30" t="n">
        <v>940.46</v>
      </c>
      <c r="AV576" s="30" t="n">
        <v>0.269</v>
      </c>
      <c r="AW576" s="30" t="s">
        <v>1016</v>
      </c>
      <c r="AX576" s="30" t="s">
        <v>1008</v>
      </c>
      <c r="AY576" s="30" t="n">
        <v>1</v>
      </c>
      <c r="AZ576" s="30"/>
    </row>
    <row collapsed="false" customFormat="true" customHeight="true" hidden="false" ht="33" outlineLevel="0" r="577" s="73">
      <c r="A577" s="30" t="n">
        <v>630</v>
      </c>
      <c r="B577" s="30" t="s">
        <v>865</v>
      </c>
      <c r="C577" s="30" t="s">
        <v>1009</v>
      </c>
      <c r="D577" s="30" t="s">
        <v>999</v>
      </c>
      <c r="E577" s="30" t="s">
        <v>1000</v>
      </c>
      <c r="F577" s="30" t="s">
        <v>1011</v>
      </c>
      <c r="G577" s="30" t="s">
        <v>1002</v>
      </c>
      <c r="H577" s="30" t="s">
        <v>1003</v>
      </c>
      <c r="I577" s="30" t="n">
        <v>2</v>
      </c>
      <c r="J577" s="30"/>
      <c r="K577" s="30" t="n">
        <v>57</v>
      </c>
      <c r="L577" s="30"/>
      <c r="M577" s="30" t="s">
        <v>1015</v>
      </c>
      <c r="N577" s="30" t="s">
        <v>53</v>
      </c>
      <c r="O577" s="30"/>
      <c r="P577" s="30"/>
      <c r="Q577" s="30"/>
      <c r="R577" s="30"/>
      <c r="S577" s="30"/>
      <c r="T577" s="30"/>
      <c r="U577" s="30" t="n">
        <v>799.23</v>
      </c>
      <c r="V577" s="30" t="n">
        <v>1094.65</v>
      </c>
      <c r="W577" s="30" t="n">
        <v>159.39</v>
      </c>
      <c r="X577" s="30" t="s">
        <v>1005</v>
      </c>
      <c r="Y577" s="30" t="n">
        <v>120.95</v>
      </c>
      <c r="Z577" s="30" t="s">
        <v>1005</v>
      </c>
      <c r="AA577" s="30" t="n">
        <v>136.27</v>
      </c>
      <c r="AB577" s="30" t="s">
        <v>1006</v>
      </c>
      <c r="AC577" s="30" t="n">
        <v>95.28</v>
      </c>
      <c r="AD577" s="30" t="s">
        <v>1005</v>
      </c>
      <c r="AE577" s="30" t="n">
        <v>51.89</v>
      </c>
      <c r="AF577" s="30" t="s">
        <v>1005</v>
      </c>
      <c r="AG577" s="30" t="n">
        <v>38.01</v>
      </c>
      <c r="AH577" s="30" t="s">
        <v>1005</v>
      </c>
      <c r="AI577" s="30" t="n">
        <v>19.17</v>
      </c>
      <c r="AJ577" s="30" t="s">
        <v>1005</v>
      </c>
      <c r="AK577" s="30" t="n">
        <v>23.81</v>
      </c>
      <c r="AL577" s="30" t="s">
        <v>1005</v>
      </c>
      <c r="AM577" s="30" t="n">
        <v>27.69</v>
      </c>
      <c r="AN577" s="30" t="s">
        <v>1005</v>
      </c>
      <c r="AO577" s="30" t="n">
        <v>100.34</v>
      </c>
      <c r="AP577" s="30" t="s">
        <v>1005</v>
      </c>
      <c r="AQ577" s="30" t="n">
        <v>100.38</v>
      </c>
      <c r="AR577" s="30" t="s">
        <v>1005</v>
      </c>
      <c r="AS577" s="30" t="n">
        <v>127.14</v>
      </c>
      <c r="AT577" s="30" t="s">
        <v>1005</v>
      </c>
      <c r="AU577" s="30" t="n">
        <v>1000.32</v>
      </c>
      <c r="AV577" s="30" t="n">
        <v>0.27</v>
      </c>
      <c r="AW577" s="30" t="s">
        <v>1016</v>
      </c>
      <c r="AX577" s="30" t="s">
        <v>1008</v>
      </c>
      <c r="AY577" s="30" t="n">
        <v>1</v>
      </c>
      <c r="AZ577" s="30"/>
    </row>
  </sheetData>
  <autoFilter ref="A5:AZ577"/>
  <mergeCells count="42">
    <mergeCell ref="A5:A9"/>
    <mergeCell ref="B5:B9"/>
    <mergeCell ref="C5:C9"/>
    <mergeCell ref="D5:D9"/>
    <mergeCell ref="E5:E9"/>
    <mergeCell ref="F5:F9"/>
    <mergeCell ref="G5:G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S5:S9"/>
    <mergeCell ref="T5:T9"/>
    <mergeCell ref="U5:AU5"/>
    <mergeCell ref="AV5:AV9"/>
    <mergeCell ref="AW5:AW9"/>
    <mergeCell ref="AX5:AX9"/>
    <mergeCell ref="AY5:AY9"/>
    <mergeCell ref="AZ5:AZ9"/>
    <mergeCell ref="U6:U8"/>
    <mergeCell ref="V6:V8"/>
    <mergeCell ref="W6:AU6"/>
    <mergeCell ref="W7:X8"/>
    <mergeCell ref="Y7:Z8"/>
    <mergeCell ref="AA7:AB8"/>
    <mergeCell ref="AC7:AD8"/>
    <mergeCell ref="AE7:AF8"/>
    <mergeCell ref="AG7:AH8"/>
    <mergeCell ref="AI7:AJ8"/>
    <mergeCell ref="AK7:AL8"/>
    <mergeCell ref="AM7:AN8"/>
    <mergeCell ref="AO7:AP8"/>
    <mergeCell ref="AQ7:AR8"/>
    <mergeCell ref="AS7:AT8"/>
    <mergeCell ref="AU7:AU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257"/>
  <sheetViews>
    <sheetView colorId="64" defaultGridColor="true" rightToLeft="false" showFormulas="false" showGridLines="true" showOutlineSymbols="true" showRowColHeaders="true" showZeros="true" tabSelected="false" topLeftCell="A1206" view="pageBreakPreview" windowProtection="false" workbookViewId="0" zoomScale="50" zoomScaleNormal="80" zoomScalePageLayoutView="50">
      <selection activeCell="D1246" activeCellId="0" pane="topLeft" sqref="D1246"/>
    </sheetView>
  </sheetViews>
  <sheetFormatPr defaultRowHeight="16.2"/>
  <cols>
    <col collapsed="false" hidden="false" max="1" min="1" style="74" width="9.66396761133603"/>
    <col collapsed="false" hidden="false" max="2" min="2" style="74" width="12.4412955465587"/>
    <col collapsed="false" hidden="false" max="3" min="3" style="74" width="34"/>
    <col collapsed="false" hidden="false" max="4" min="4" style="74" width="34.4412955465587"/>
    <col collapsed="false" hidden="false" max="5" min="5" style="74" width="20.668016194332"/>
    <col collapsed="false" hidden="false" max="7" min="6" style="74" width="9.66396761133603"/>
    <col collapsed="false" hidden="false" max="8" min="8" style="74" width="15.4412955465587"/>
    <col collapsed="false" hidden="false" max="9" min="9" style="74" width="9.66396761133603"/>
    <col collapsed="false" hidden="false" max="10" min="10" style="74" width="17.004048582996"/>
    <col collapsed="false" hidden="false" max="11" min="11" style="74" width="19.331983805668"/>
    <col collapsed="false" hidden="false" max="12" min="12" style="74" width="19.4372469635628"/>
    <col collapsed="false" hidden="false" max="14" min="13" style="74" width="14.5546558704453"/>
    <col collapsed="false" hidden="false" max="16" min="15" style="74" width="9.66396761133603"/>
    <col collapsed="false" hidden="false" max="18" min="17" style="74" width="12.331983805668"/>
    <col collapsed="false" hidden="false" max="38" min="19" style="74" width="9.66396761133603"/>
    <col collapsed="false" hidden="false" max="39" min="39" style="74" width="14.5546558704453"/>
    <col collapsed="false" hidden="false" max="1025" min="40" style="0" width="8.53441295546559"/>
  </cols>
  <sheetData>
    <row collapsed="false" customFormat="false" customHeight="true" hidden="false" ht="16.2" outlineLevel="0" r="1">
      <c r="A1" s="50" t="s">
        <v>1022</v>
      </c>
    </row>
    <row collapsed="false" customFormat="false" customHeight="true" hidden="false" ht="16.2" outlineLevel="0" r="2">
      <c r="A2" s="50"/>
      <c r="C2" s="52" t="s">
        <v>1023</v>
      </c>
    </row>
    <row collapsed="false" customFormat="false" customHeight="true" hidden="false" ht="16.2" outlineLevel="0" r="3">
      <c r="A3" s="75"/>
      <c r="C3" s="52" t="s">
        <v>1024</v>
      </c>
    </row>
    <row collapsed="false" customFormat="false" customHeight="true" hidden="false" ht="16.2" outlineLevel="0" r="5">
      <c r="A5" s="76" t="s">
        <v>4</v>
      </c>
      <c r="B5" s="5" t="s">
        <v>952</v>
      </c>
      <c r="C5" s="53" t="s">
        <v>953</v>
      </c>
      <c r="D5" s="53" t="s">
        <v>956</v>
      </c>
      <c r="E5" s="53" t="s">
        <v>1025</v>
      </c>
      <c r="F5" s="53" t="s">
        <v>958</v>
      </c>
      <c r="G5" s="53" t="s">
        <v>1026</v>
      </c>
      <c r="H5" s="53"/>
      <c r="I5" s="53" t="s">
        <v>1027</v>
      </c>
      <c r="J5" s="53"/>
      <c r="K5" s="7" t="s">
        <v>1028</v>
      </c>
      <c r="L5" s="7" t="s">
        <v>1029</v>
      </c>
      <c r="M5" s="56" t="s">
        <v>971</v>
      </c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</row>
    <row collapsed="false" customFormat="false" customHeight="true" hidden="false" ht="16.2" outlineLevel="0" r="6">
      <c r="A6" s="76"/>
      <c r="B6" s="5"/>
      <c r="C6" s="53"/>
      <c r="D6" s="53"/>
      <c r="E6" s="53"/>
      <c r="F6" s="53"/>
      <c r="G6" s="53"/>
      <c r="H6" s="53"/>
      <c r="I6" s="53"/>
      <c r="J6" s="53"/>
      <c r="K6" s="7"/>
      <c r="L6" s="7"/>
      <c r="M6" s="58" t="s">
        <v>977</v>
      </c>
      <c r="N6" s="58" t="s">
        <v>978</v>
      </c>
      <c r="O6" s="59" t="s">
        <v>979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</row>
    <row collapsed="false" customFormat="false" customHeight="true" hidden="false" ht="16.2" outlineLevel="0" r="7">
      <c r="A7" s="76"/>
      <c r="B7" s="5"/>
      <c r="C7" s="53"/>
      <c r="D7" s="53"/>
      <c r="E7" s="53"/>
      <c r="F7" s="53"/>
      <c r="G7" s="54" t="s">
        <v>1030</v>
      </c>
      <c r="H7" s="53" t="s">
        <v>1031</v>
      </c>
      <c r="I7" s="54" t="s">
        <v>1030</v>
      </c>
      <c r="J7" s="53" t="s">
        <v>1031</v>
      </c>
      <c r="K7" s="7"/>
      <c r="L7" s="7"/>
      <c r="M7" s="58"/>
      <c r="N7" s="58"/>
      <c r="O7" s="58" t="s">
        <v>980</v>
      </c>
      <c r="P7" s="58"/>
      <c r="Q7" s="58" t="s">
        <v>981</v>
      </c>
      <c r="R7" s="58"/>
      <c r="S7" s="58" t="s">
        <v>982</v>
      </c>
      <c r="T7" s="58"/>
      <c r="U7" s="58" t="s">
        <v>983</v>
      </c>
      <c r="V7" s="58"/>
      <c r="W7" s="58" t="s">
        <v>984</v>
      </c>
      <c r="X7" s="58"/>
      <c r="Y7" s="58" t="s">
        <v>985</v>
      </c>
      <c r="Z7" s="58"/>
      <c r="AA7" s="58" t="s">
        <v>986</v>
      </c>
      <c r="AB7" s="58"/>
      <c r="AC7" s="58" t="s">
        <v>987</v>
      </c>
      <c r="AD7" s="58"/>
      <c r="AE7" s="58" t="s">
        <v>988</v>
      </c>
      <c r="AF7" s="58"/>
      <c r="AG7" s="58" t="s">
        <v>989</v>
      </c>
      <c r="AH7" s="58"/>
      <c r="AI7" s="58" t="s">
        <v>990</v>
      </c>
      <c r="AJ7" s="58"/>
      <c r="AK7" s="58" t="s">
        <v>991</v>
      </c>
      <c r="AL7" s="58"/>
      <c r="AM7" s="58" t="s">
        <v>992</v>
      </c>
    </row>
    <row collapsed="false" customFormat="false" customHeight="true" hidden="false" ht="16.2" outlineLevel="0" r="8">
      <c r="A8" s="76"/>
      <c r="B8" s="5"/>
      <c r="C8" s="53"/>
      <c r="D8" s="53"/>
      <c r="E8" s="53"/>
      <c r="F8" s="53"/>
      <c r="G8" s="54"/>
      <c r="H8" s="53"/>
      <c r="I8" s="54"/>
      <c r="J8" s="53"/>
      <c r="K8" s="7"/>
      <c r="L8" s="7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</row>
    <row collapsed="false" customFormat="false" customHeight="true" hidden="false" ht="16.2" outlineLevel="0" r="9">
      <c r="A9" s="76"/>
      <c r="B9" s="5"/>
      <c r="C9" s="53"/>
      <c r="D9" s="53"/>
      <c r="E9" s="53"/>
      <c r="F9" s="53"/>
      <c r="G9" s="54"/>
      <c r="H9" s="53"/>
      <c r="I9" s="54"/>
      <c r="J9" s="53"/>
      <c r="K9" s="7"/>
      <c r="L9" s="7"/>
      <c r="M9" s="77" t="s">
        <v>1032</v>
      </c>
      <c r="N9" s="77" t="s">
        <v>1032</v>
      </c>
      <c r="O9" s="58" t="s">
        <v>995</v>
      </c>
      <c r="P9" s="58" t="s">
        <v>996</v>
      </c>
      <c r="Q9" s="58" t="s">
        <v>995</v>
      </c>
      <c r="R9" s="58" t="s">
        <v>996</v>
      </c>
      <c r="S9" s="58" t="s">
        <v>995</v>
      </c>
      <c r="T9" s="58" t="s">
        <v>996</v>
      </c>
      <c r="U9" s="58" t="s">
        <v>995</v>
      </c>
      <c r="V9" s="58" t="s">
        <v>996</v>
      </c>
      <c r="W9" s="58" t="s">
        <v>995</v>
      </c>
      <c r="X9" s="58" t="s">
        <v>996</v>
      </c>
      <c r="Y9" s="58" t="s">
        <v>995</v>
      </c>
      <c r="Z9" s="58" t="s">
        <v>996</v>
      </c>
      <c r="AA9" s="58" t="s">
        <v>995</v>
      </c>
      <c r="AB9" s="58" t="s">
        <v>996</v>
      </c>
      <c r="AC9" s="58" t="s">
        <v>995</v>
      </c>
      <c r="AD9" s="58" t="s">
        <v>996</v>
      </c>
      <c r="AE9" s="58" t="s">
        <v>995</v>
      </c>
      <c r="AF9" s="58" t="s">
        <v>996</v>
      </c>
      <c r="AG9" s="58" t="s">
        <v>995</v>
      </c>
      <c r="AH9" s="58" t="s">
        <v>996</v>
      </c>
      <c r="AI9" s="58" t="s">
        <v>995</v>
      </c>
      <c r="AJ9" s="58" t="s">
        <v>996</v>
      </c>
      <c r="AK9" s="58" t="s">
        <v>995</v>
      </c>
      <c r="AL9" s="58" t="s">
        <v>996</v>
      </c>
      <c r="AM9" s="77" t="s">
        <v>1032</v>
      </c>
    </row>
    <row collapsed="false" customFormat="false" customHeight="true" hidden="false" ht="16.2" outlineLevel="0" r="10">
      <c r="A10" s="78" t="n">
        <v>1</v>
      </c>
      <c r="B10" s="61" t="n">
        <v>2</v>
      </c>
      <c r="C10" s="62" t="n">
        <v>3</v>
      </c>
      <c r="D10" s="62" t="n">
        <v>4</v>
      </c>
      <c r="E10" s="62" t="n">
        <v>5</v>
      </c>
      <c r="F10" s="62" t="n">
        <v>6</v>
      </c>
      <c r="G10" s="53" t="n">
        <v>7</v>
      </c>
      <c r="H10" s="53" t="n">
        <v>8</v>
      </c>
      <c r="I10" s="53" t="n">
        <v>9</v>
      </c>
      <c r="J10" s="53" t="n">
        <v>10</v>
      </c>
      <c r="K10" s="79" t="n">
        <v>11</v>
      </c>
      <c r="L10" s="79" t="n">
        <v>12</v>
      </c>
      <c r="M10" s="64" t="n">
        <v>13</v>
      </c>
      <c r="N10" s="64" t="n">
        <v>14</v>
      </c>
      <c r="O10" s="64" t="n">
        <v>15</v>
      </c>
      <c r="P10" s="64" t="n">
        <v>16</v>
      </c>
      <c r="Q10" s="64" t="n">
        <v>17</v>
      </c>
      <c r="R10" s="64" t="n">
        <v>18</v>
      </c>
      <c r="S10" s="64" t="n">
        <v>19</v>
      </c>
      <c r="T10" s="64" t="n">
        <v>20</v>
      </c>
      <c r="U10" s="64" t="n">
        <v>21</v>
      </c>
      <c r="V10" s="64" t="n">
        <v>22</v>
      </c>
      <c r="W10" s="64" t="n">
        <v>23</v>
      </c>
      <c r="X10" s="64" t="n">
        <v>24</v>
      </c>
      <c r="Y10" s="64" t="n">
        <v>25</v>
      </c>
      <c r="Z10" s="64" t="n">
        <v>26</v>
      </c>
      <c r="AA10" s="64" t="n">
        <v>27</v>
      </c>
      <c r="AB10" s="64" t="n">
        <v>28</v>
      </c>
      <c r="AC10" s="64" t="n">
        <v>29</v>
      </c>
      <c r="AD10" s="64" t="n">
        <v>30</v>
      </c>
      <c r="AE10" s="64" t="n">
        <v>31</v>
      </c>
      <c r="AF10" s="64" t="n">
        <v>32</v>
      </c>
      <c r="AG10" s="64" t="n">
        <v>33</v>
      </c>
      <c r="AH10" s="64" t="n">
        <v>34</v>
      </c>
      <c r="AI10" s="64" t="n">
        <v>35</v>
      </c>
      <c r="AJ10" s="64" t="n">
        <v>36</v>
      </c>
      <c r="AK10" s="64" t="n">
        <v>37</v>
      </c>
      <c r="AL10" s="64" t="n">
        <v>38</v>
      </c>
      <c r="AM10" s="64" t="n">
        <v>39</v>
      </c>
    </row>
    <row collapsed="false" customFormat="false" customHeight="true" hidden="false" ht="16.2" outlineLevel="0" r="11">
      <c r="A11" s="80" t="n">
        <v>1</v>
      </c>
      <c r="B11" s="81" t="s">
        <v>48</v>
      </c>
      <c r="C11" s="82" t="s">
        <v>1033</v>
      </c>
      <c r="D11" s="82" t="s">
        <v>1034</v>
      </c>
      <c r="E11" s="83" t="s">
        <v>1035</v>
      </c>
      <c r="F11" s="84" t="s">
        <v>1036</v>
      </c>
      <c r="G11" s="85"/>
      <c r="H11" s="85"/>
      <c r="I11" s="85"/>
      <c r="J11" s="85"/>
      <c r="K11" s="86" t="s">
        <v>53</v>
      </c>
      <c r="L11" s="86" t="s">
        <v>53</v>
      </c>
      <c r="M11" s="83"/>
      <c r="N11" s="83"/>
      <c r="O11" s="87"/>
      <c r="P11" s="87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7"/>
      <c r="AF11" s="85"/>
      <c r="AG11" s="85"/>
      <c r="AH11" s="85"/>
      <c r="AI11" s="85"/>
      <c r="AJ11" s="85"/>
      <c r="AK11" s="85"/>
      <c r="AL11" s="85"/>
      <c r="AM11" s="88"/>
    </row>
    <row collapsed="false" customFormat="false" customHeight="true" hidden="false" ht="16.2" outlineLevel="0" r="12">
      <c r="A12" s="80"/>
      <c r="B12" s="89"/>
      <c r="C12" s="85"/>
      <c r="D12" s="85"/>
      <c r="E12" s="83" t="s">
        <v>1037</v>
      </c>
      <c r="F12" s="84" t="s">
        <v>1036</v>
      </c>
      <c r="G12" s="85"/>
      <c r="H12" s="85"/>
      <c r="I12" s="85"/>
      <c r="J12" s="85"/>
      <c r="K12" s="86"/>
      <c r="L12" s="86"/>
      <c r="M12" s="90" t="n">
        <v>11830</v>
      </c>
      <c r="N12" s="91" t="n">
        <f aca="false">4653+2301+632</f>
        <v>7586</v>
      </c>
      <c r="O12" s="90" t="n">
        <v>722</v>
      </c>
      <c r="P12" s="90" t="s">
        <v>1005</v>
      </c>
      <c r="Q12" s="81" t="n">
        <v>657</v>
      </c>
      <c r="R12" s="90" t="s">
        <v>1005</v>
      </c>
      <c r="S12" s="81" t="n">
        <v>556</v>
      </c>
      <c r="T12" s="81" t="s">
        <v>1005</v>
      </c>
      <c r="U12" s="81" t="n">
        <v>603</v>
      </c>
      <c r="V12" s="81" t="s">
        <v>1005</v>
      </c>
      <c r="W12" s="81" t="n">
        <v>547</v>
      </c>
      <c r="X12" s="81" t="s">
        <v>1005</v>
      </c>
      <c r="Y12" s="81" t="n">
        <v>359</v>
      </c>
      <c r="Z12" s="81" t="s">
        <v>1005</v>
      </c>
      <c r="AA12" s="81" t="n">
        <v>258</v>
      </c>
      <c r="AB12" s="81" t="s">
        <v>1005</v>
      </c>
      <c r="AC12" s="81" t="n">
        <v>410</v>
      </c>
      <c r="AD12" s="81" t="s">
        <v>1005</v>
      </c>
      <c r="AE12" s="90" t="e">
        <f aca="false">+</f>
        <v>#N/A</v>
      </c>
      <c r="AF12" s="81" t="s">
        <v>1005</v>
      </c>
      <c r="AG12" s="81" t="n">
        <f aca="false">286+302</f>
        <v>588</v>
      </c>
      <c r="AH12" s="81" t="s">
        <v>1005</v>
      </c>
      <c r="AI12" s="81" t="n">
        <f aca="false">498+467</f>
        <v>965</v>
      </c>
      <c r="AJ12" s="81" t="s">
        <v>1005</v>
      </c>
      <c r="AK12" s="81" t="n">
        <f aca="false">444+369</f>
        <v>813</v>
      </c>
      <c r="AL12" s="81" t="s">
        <v>1005</v>
      </c>
      <c r="AM12" s="81" t="n">
        <f aca="false">O12+Q12+S12+U12+W12+Y12+AA12+AC12+AE12+AG12+AI12+AK12</f>
        <v>7002</v>
      </c>
    </row>
    <row collapsed="false" customFormat="false" customHeight="true" hidden="false" ht="16.2" outlineLevel="0" r="13">
      <c r="A13" s="80" t="n">
        <v>2</v>
      </c>
      <c r="B13" s="81" t="s">
        <v>55</v>
      </c>
      <c r="C13" s="82" t="s">
        <v>1033</v>
      </c>
      <c r="D13" s="82" t="s">
        <v>1034</v>
      </c>
      <c r="E13" s="83" t="s">
        <v>1035</v>
      </c>
      <c r="F13" s="84" t="s">
        <v>1036</v>
      </c>
      <c r="G13" s="85"/>
      <c r="H13" s="85"/>
      <c r="I13" s="85"/>
      <c r="J13" s="85"/>
      <c r="K13" s="86" t="s">
        <v>53</v>
      </c>
      <c r="L13" s="86" t="s">
        <v>53</v>
      </c>
      <c r="M13" s="90"/>
      <c r="N13" s="90"/>
      <c r="O13" s="90"/>
      <c r="P13" s="90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90"/>
      <c r="AF13" s="81"/>
      <c r="AG13" s="81"/>
      <c r="AH13" s="81"/>
      <c r="AI13" s="81"/>
      <c r="AJ13" s="81"/>
      <c r="AK13" s="81"/>
      <c r="AL13" s="81"/>
      <c r="AM13" s="81" t="n">
        <f aca="false">O13+Q13+S13+U13+W13+Y13+AA13+AC13+AE13+AG13+AI13+AK13</f>
        <v>0</v>
      </c>
    </row>
    <row collapsed="false" customFormat="false" customHeight="true" hidden="false" ht="16.2" outlineLevel="0" r="14">
      <c r="A14" s="80"/>
      <c r="B14" s="89"/>
      <c r="C14" s="85"/>
      <c r="D14" s="85"/>
      <c r="E14" s="83" t="s">
        <v>1037</v>
      </c>
      <c r="F14" s="84" t="s">
        <v>1036</v>
      </c>
      <c r="G14" s="85"/>
      <c r="H14" s="85"/>
      <c r="I14" s="85"/>
      <c r="J14" s="85"/>
      <c r="K14" s="86"/>
      <c r="L14" s="86"/>
      <c r="M14" s="90" t="n">
        <f aca="false">1629+1835</f>
        <v>3464</v>
      </c>
      <c r="N14" s="91" t="n">
        <f aca="false">1614+1660+298</f>
        <v>3572</v>
      </c>
      <c r="O14" s="90" t="n">
        <v>289</v>
      </c>
      <c r="P14" s="90" t="s">
        <v>1005</v>
      </c>
      <c r="Q14" s="81" t="n">
        <v>305</v>
      </c>
      <c r="R14" s="90" t="s">
        <v>1005</v>
      </c>
      <c r="S14" s="81" t="n">
        <v>226</v>
      </c>
      <c r="T14" s="81" t="s">
        <v>1005</v>
      </c>
      <c r="U14" s="81" t="n">
        <v>191</v>
      </c>
      <c r="V14" s="81" t="s">
        <v>1005</v>
      </c>
      <c r="W14" s="81" t="n">
        <v>268</v>
      </c>
      <c r="X14" s="81" t="s">
        <v>1005</v>
      </c>
      <c r="Y14" s="81" t="n">
        <v>375</v>
      </c>
      <c r="Z14" s="81" t="s">
        <v>1005</v>
      </c>
      <c r="AA14" s="81" t="n">
        <v>105</v>
      </c>
      <c r="AB14" s="81" t="s">
        <v>1005</v>
      </c>
      <c r="AC14" s="81" t="n">
        <v>154</v>
      </c>
      <c r="AD14" s="81" t="s">
        <v>1005</v>
      </c>
      <c r="AE14" s="90" t="e">
        <f aca="false">+</f>
        <v>#N/A</v>
      </c>
      <c r="AF14" s="81" t="s">
        <v>1005</v>
      </c>
      <c r="AG14" s="81" t="n">
        <f aca="false">104+134</f>
        <v>238</v>
      </c>
      <c r="AH14" s="81" t="s">
        <v>1005</v>
      </c>
      <c r="AI14" s="81" t="n">
        <f aca="false">177+167</f>
        <v>344</v>
      </c>
      <c r="AJ14" s="81" t="s">
        <v>1005</v>
      </c>
      <c r="AK14" s="81" t="n">
        <f aca="false">198+142</f>
        <v>340</v>
      </c>
      <c r="AL14" s="81" t="s">
        <v>1005</v>
      </c>
      <c r="AM14" s="81" t="n">
        <f aca="false">O14+Q14+S14+U14+W14+Y14+AA14+AC14+AE14+AG14+AI14+AK14</f>
        <v>3155</v>
      </c>
    </row>
    <row collapsed="false" customFormat="false" customHeight="true" hidden="false" ht="16.2" outlineLevel="0" r="15">
      <c r="A15" s="80" t="n">
        <v>3</v>
      </c>
      <c r="B15" s="81"/>
      <c r="C15" s="82" t="s">
        <v>1033</v>
      </c>
      <c r="D15" s="92"/>
      <c r="E15" s="83" t="s">
        <v>1035</v>
      </c>
      <c r="F15" s="49" t="s">
        <v>1036</v>
      </c>
      <c r="G15" s="92"/>
      <c r="H15" s="92"/>
      <c r="I15" s="92"/>
      <c r="J15" s="92"/>
      <c r="K15" s="86" t="s">
        <v>53</v>
      </c>
      <c r="L15" s="93"/>
      <c r="M15" s="94"/>
      <c r="N15" s="94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</row>
    <row collapsed="false" customFormat="false" customHeight="true" hidden="false" ht="16.2" outlineLevel="0" r="16">
      <c r="A16" s="80"/>
      <c r="B16" s="81" t="s">
        <v>61</v>
      </c>
      <c r="C16" s="85"/>
      <c r="D16" s="85" t="s">
        <v>1038</v>
      </c>
      <c r="E16" s="83" t="s">
        <v>1037</v>
      </c>
      <c r="F16" s="49" t="s">
        <v>1036</v>
      </c>
      <c r="G16" s="85" t="s">
        <v>1039</v>
      </c>
      <c r="H16" s="85" t="n">
        <v>15</v>
      </c>
      <c r="I16" s="85" t="s">
        <v>1040</v>
      </c>
      <c r="J16" s="85" t="n">
        <v>3</v>
      </c>
      <c r="K16" s="86"/>
      <c r="L16" s="93" t="s">
        <v>1041</v>
      </c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</row>
    <row collapsed="false" customFormat="false" customHeight="true" hidden="false" ht="16.2" outlineLevel="0" r="17">
      <c r="A17" s="80" t="n">
        <v>4</v>
      </c>
      <c r="B17" s="81"/>
      <c r="C17" s="82" t="s">
        <v>1033</v>
      </c>
      <c r="D17" s="85"/>
      <c r="E17" s="83" t="s">
        <v>1035</v>
      </c>
      <c r="F17" s="49" t="s">
        <v>1036</v>
      </c>
      <c r="G17" s="85"/>
      <c r="H17" s="85"/>
      <c r="I17" s="85"/>
      <c r="J17" s="85"/>
      <c r="K17" s="86" t="s">
        <v>53</v>
      </c>
      <c r="L17" s="93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</row>
    <row collapsed="false" customFormat="false" customHeight="true" hidden="false" ht="16.2" outlineLevel="0" r="18">
      <c r="A18" s="80"/>
      <c r="B18" s="81" t="s">
        <v>62</v>
      </c>
      <c r="C18" s="85"/>
      <c r="D18" s="85" t="s">
        <v>1038</v>
      </c>
      <c r="E18" s="83" t="s">
        <v>1037</v>
      </c>
      <c r="F18" s="49" t="s">
        <v>1036</v>
      </c>
      <c r="G18" s="85" t="s">
        <v>1039</v>
      </c>
      <c r="H18" s="85" t="n">
        <v>15</v>
      </c>
      <c r="I18" s="85" t="s">
        <v>1040</v>
      </c>
      <c r="J18" s="85" t="n">
        <v>3</v>
      </c>
      <c r="K18" s="86"/>
      <c r="L18" s="93" t="s">
        <v>1041</v>
      </c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</row>
    <row collapsed="false" customFormat="false" customHeight="true" hidden="false" ht="16.2" outlineLevel="0" r="19">
      <c r="A19" s="80" t="n">
        <v>5</v>
      </c>
      <c r="B19" s="81"/>
      <c r="C19" s="82" t="s">
        <v>1033</v>
      </c>
      <c r="D19" s="85"/>
      <c r="E19" s="83" t="s">
        <v>1035</v>
      </c>
      <c r="F19" s="49" t="s">
        <v>1036</v>
      </c>
      <c r="G19" s="85"/>
      <c r="H19" s="85"/>
      <c r="I19" s="85"/>
      <c r="J19" s="85"/>
      <c r="K19" s="86" t="s">
        <v>53</v>
      </c>
      <c r="L19" s="93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</row>
    <row collapsed="false" customFormat="false" customHeight="true" hidden="false" ht="16.2" outlineLevel="0" r="20">
      <c r="A20" s="80"/>
      <c r="B20" s="81" t="s">
        <v>63</v>
      </c>
      <c r="C20" s="85"/>
      <c r="D20" s="85" t="s">
        <v>1038</v>
      </c>
      <c r="E20" s="83" t="s">
        <v>1037</v>
      </c>
      <c r="F20" s="49" t="s">
        <v>1036</v>
      </c>
      <c r="G20" s="85" t="s">
        <v>1039</v>
      </c>
      <c r="H20" s="85" t="n">
        <v>15</v>
      </c>
      <c r="I20" s="85" t="s">
        <v>1040</v>
      </c>
      <c r="J20" s="85" t="n">
        <v>3</v>
      </c>
      <c r="K20" s="86"/>
      <c r="L20" s="93" t="s">
        <v>1041</v>
      </c>
      <c r="M20" s="81" t="n">
        <v>4464</v>
      </c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</row>
    <row collapsed="false" customFormat="false" customHeight="true" hidden="false" ht="16.2" outlineLevel="0" r="21">
      <c r="A21" s="80" t="n">
        <v>6</v>
      </c>
      <c r="B21" s="81"/>
      <c r="C21" s="82" t="s">
        <v>1033</v>
      </c>
      <c r="D21" s="85"/>
      <c r="E21" s="83" t="s">
        <v>1035</v>
      </c>
      <c r="F21" s="49" t="s">
        <v>1036</v>
      </c>
      <c r="G21" s="85"/>
      <c r="H21" s="85"/>
      <c r="I21" s="85"/>
      <c r="J21" s="85"/>
      <c r="K21" s="86" t="s">
        <v>53</v>
      </c>
      <c r="L21" s="85"/>
      <c r="M21" s="81"/>
      <c r="N21" s="81"/>
      <c r="O21" s="96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</row>
    <row collapsed="false" customFormat="false" customHeight="true" hidden="false" ht="16.2" outlineLevel="0" r="22">
      <c r="A22" s="80"/>
      <c r="B22" s="81" t="s">
        <v>66</v>
      </c>
      <c r="C22" s="85"/>
      <c r="D22" s="85" t="s">
        <v>1038</v>
      </c>
      <c r="E22" s="83" t="s">
        <v>1037</v>
      </c>
      <c r="F22" s="49" t="s">
        <v>1036</v>
      </c>
      <c r="G22" s="85" t="s">
        <v>1040</v>
      </c>
      <c r="H22" s="85" t="n">
        <v>12</v>
      </c>
      <c r="I22" s="85" t="s">
        <v>1040</v>
      </c>
      <c r="J22" s="85" t="n">
        <v>3</v>
      </c>
      <c r="K22" s="85" t="s">
        <v>1041</v>
      </c>
      <c r="L22" s="85" t="s">
        <v>1041</v>
      </c>
      <c r="M22" s="81" t="n">
        <v>5352</v>
      </c>
      <c r="N22" s="81"/>
      <c r="O22" s="96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</row>
    <row collapsed="false" customFormat="false" customHeight="true" hidden="false" ht="16.2" outlineLevel="0" r="23">
      <c r="A23" s="80" t="n">
        <v>7</v>
      </c>
      <c r="B23" s="81"/>
      <c r="C23" s="82" t="s">
        <v>1033</v>
      </c>
      <c r="D23" s="85"/>
      <c r="E23" s="83" t="s">
        <v>1035</v>
      </c>
      <c r="F23" s="49" t="s">
        <v>1036</v>
      </c>
      <c r="G23" s="85"/>
      <c r="H23" s="85"/>
      <c r="I23" s="85"/>
      <c r="J23" s="85"/>
      <c r="K23" s="85"/>
      <c r="L23" s="85"/>
      <c r="M23" s="81"/>
      <c r="N23" s="81"/>
      <c r="O23" s="96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</row>
    <row collapsed="false" customFormat="false" customHeight="true" hidden="false" ht="16.2" outlineLevel="0" r="24">
      <c r="A24" s="80"/>
      <c r="B24" s="81" t="s">
        <v>68</v>
      </c>
      <c r="C24" s="85"/>
      <c r="D24" s="85" t="s">
        <v>1038</v>
      </c>
      <c r="E24" s="83" t="s">
        <v>1037</v>
      </c>
      <c r="F24" s="49" t="s">
        <v>1036</v>
      </c>
      <c r="G24" s="85" t="s">
        <v>1039</v>
      </c>
      <c r="H24" s="85" t="n">
        <v>12</v>
      </c>
      <c r="I24" s="85" t="s">
        <v>1040</v>
      </c>
      <c r="J24" s="85" t="n">
        <v>3</v>
      </c>
      <c r="K24" s="85" t="s">
        <v>1041</v>
      </c>
      <c r="L24" s="85" t="s">
        <v>1041</v>
      </c>
      <c r="M24" s="81" t="n">
        <v>1248</v>
      </c>
      <c r="N24" s="81"/>
      <c r="O24" s="96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</row>
    <row collapsed="false" customFormat="false" customHeight="true" hidden="false" ht="16.2" outlineLevel="0" r="25">
      <c r="A25" s="80" t="n">
        <v>8</v>
      </c>
      <c r="B25" s="81"/>
      <c r="C25" s="82" t="s">
        <v>1033</v>
      </c>
      <c r="D25" s="85"/>
      <c r="E25" s="83" t="s">
        <v>1035</v>
      </c>
      <c r="F25" s="49" t="s">
        <v>1036</v>
      </c>
      <c r="G25" s="85"/>
      <c r="H25" s="85"/>
      <c r="I25" s="85"/>
      <c r="J25" s="85"/>
      <c r="K25" s="85"/>
      <c r="L25" s="85"/>
      <c r="M25" s="81"/>
      <c r="N25" s="81"/>
      <c r="O25" s="96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</row>
    <row collapsed="false" customFormat="false" customHeight="true" hidden="false" ht="16.2" outlineLevel="0" r="26">
      <c r="A26" s="80"/>
      <c r="B26" s="81" t="s">
        <v>70</v>
      </c>
      <c r="C26" s="85"/>
      <c r="D26" s="85" t="s">
        <v>1038</v>
      </c>
      <c r="E26" s="83" t="s">
        <v>1037</v>
      </c>
      <c r="F26" s="49" t="s">
        <v>1036</v>
      </c>
      <c r="G26" s="85" t="s">
        <v>1039</v>
      </c>
      <c r="H26" s="85" t="n">
        <v>8</v>
      </c>
      <c r="I26" s="85" t="s">
        <v>1040</v>
      </c>
      <c r="J26" s="85" t="n">
        <v>3</v>
      </c>
      <c r="K26" s="85" t="s">
        <v>1041</v>
      </c>
      <c r="L26" s="85" t="s">
        <v>1041</v>
      </c>
      <c r="M26" s="81" t="n">
        <v>4500</v>
      </c>
      <c r="N26" s="81"/>
      <c r="O26" s="96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</row>
    <row collapsed="false" customFormat="false" customHeight="true" hidden="false" ht="16.2" outlineLevel="0" r="27">
      <c r="A27" s="80" t="n">
        <v>9</v>
      </c>
      <c r="B27" s="81"/>
      <c r="C27" s="82" t="s">
        <v>1033</v>
      </c>
      <c r="D27" s="85"/>
      <c r="E27" s="83" t="s">
        <v>1035</v>
      </c>
      <c r="F27" s="49" t="s">
        <v>1036</v>
      </c>
      <c r="G27" s="85"/>
      <c r="H27" s="85"/>
      <c r="I27" s="85"/>
      <c r="J27" s="85"/>
      <c r="K27" s="85"/>
      <c r="L27" s="85"/>
      <c r="M27" s="81"/>
      <c r="N27" s="81"/>
      <c r="O27" s="96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</row>
    <row collapsed="false" customFormat="false" customHeight="true" hidden="false" ht="16.2" outlineLevel="0" r="28">
      <c r="A28" s="80"/>
      <c r="B28" s="81" t="s">
        <v>71</v>
      </c>
      <c r="C28" s="85"/>
      <c r="D28" s="85" t="s">
        <v>1038</v>
      </c>
      <c r="E28" s="83" t="s">
        <v>1037</v>
      </c>
      <c r="F28" s="49" t="s">
        <v>1036</v>
      </c>
      <c r="G28" s="85" t="s">
        <v>1039</v>
      </c>
      <c r="H28" s="85" t="n">
        <v>15</v>
      </c>
      <c r="I28" s="85" t="s">
        <v>1040</v>
      </c>
      <c r="J28" s="85" t="n">
        <v>3</v>
      </c>
      <c r="K28" s="85" t="s">
        <v>1041</v>
      </c>
      <c r="L28" s="85" t="s">
        <v>1041</v>
      </c>
      <c r="M28" s="81" t="n">
        <v>1740</v>
      </c>
      <c r="N28" s="81"/>
      <c r="O28" s="96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</row>
    <row collapsed="false" customFormat="false" customHeight="true" hidden="false" ht="16.2" outlineLevel="0" r="29">
      <c r="A29" s="80" t="n">
        <v>10</v>
      </c>
      <c r="B29" s="81"/>
      <c r="C29" s="82" t="s">
        <v>1033</v>
      </c>
      <c r="D29" s="85"/>
      <c r="E29" s="83" t="s">
        <v>1035</v>
      </c>
      <c r="F29" s="49" t="s">
        <v>1036</v>
      </c>
      <c r="G29" s="85"/>
      <c r="H29" s="85"/>
      <c r="I29" s="85"/>
      <c r="J29" s="85"/>
      <c r="K29" s="85"/>
      <c r="L29" s="85"/>
      <c r="M29" s="81"/>
      <c r="N29" s="81"/>
      <c r="O29" s="96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</row>
    <row collapsed="false" customFormat="false" customHeight="true" hidden="false" ht="16.2" outlineLevel="0" r="30">
      <c r="A30" s="80"/>
      <c r="B30" s="81" t="s">
        <v>72</v>
      </c>
      <c r="C30" s="85"/>
      <c r="D30" s="85" t="s">
        <v>1038</v>
      </c>
      <c r="E30" s="83" t="s">
        <v>1037</v>
      </c>
      <c r="F30" s="49" t="s">
        <v>1036</v>
      </c>
      <c r="G30" s="85" t="s">
        <v>1039</v>
      </c>
      <c r="H30" s="85" t="n">
        <v>12</v>
      </c>
      <c r="I30" s="85" t="s">
        <v>1040</v>
      </c>
      <c r="J30" s="85" t="n">
        <v>3</v>
      </c>
      <c r="K30" s="85" t="s">
        <v>1041</v>
      </c>
      <c r="L30" s="85" t="s">
        <v>1041</v>
      </c>
      <c r="M30" s="81" t="n">
        <v>2802</v>
      </c>
      <c r="N30" s="81"/>
      <c r="O30" s="96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</row>
    <row collapsed="false" customFormat="false" customHeight="true" hidden="false" ht="16.2" outlineLevel="0" r="31">
      <c r="A31" s="80" t="n">
        <v>11</v>
      </c>
      <c r="B31" s="81"/>
      <c r="C31" s="82" t="s">
        <v>1033</v>
      </c>
      <c r="D31" s="85"/>
      <c r="E31" s="83" t="s">
        <v>1035</v>
      </c>
      <c r="F31" s="49" t="s">
        <v>1036</v>
      </c>
      <c r="G31" s="85"/>
      <c r="H31" s="85"/>
      <c r="I31" s="85"/>
      <c r="J31" s="85"/>
      <c r="K31" s="85"/>
      <c r="L31" s="85"/>
      <c r="M31" s="81"/>
      <c r="N31" s="81"/>
      <c r="O31" s="96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</row>
    <row collapsed="false" customFormat="false" customHeight="true" hidden="false" ht="16.2" outlineLevel="0" r="32">
      <c r="A32" s="80"/>
      <c r="B32" s="81" t="s">
        <v>73</v>
      </c>
      <c r="C32" s="85"/>
      <c r="D32" s="85" t="s">
        <v>1038</v>
      </c>
      <c r="E32" s="83" t="s">
        <v>1037</v>
      </c>
      <c r="F32" s="49" t="s">
        <v>1036</v>
      </c>
      <c r="G32" s="85" t="s">
        <v>1039</v>
      </c>
      <c r="H32" s="85" t="n">
        <v>12</v>
      </c>
      <c r="I32" s="85" t="s">
        <v>1040</v>
      </c>
      <c r="J32" s="85" t="n">
        <v>3</v>
      </c>
      <c r="K32" s="85" t="s">
        <v>1041</v>
      </c>
      <c r="L32" s="85" t="s">
        <v>1041</v>
      </c>
      <c r="M32" s="81" t="n">
        <v>5268</v>
      </c>
      <c r="N32" s="81"/>
      <c r="O32" s="96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</row>
    <row collapsed="false" customFormat="false" customHeight="true" hidden="false" ht="16.2" outlineLevel="0" r="33">
      <c r="A33" s="80" t="n">
        <v>12</v>
      </c>
      <c r="B33" s="81"/>
      <c r="C33" s="82" t="s">
        <v>1033</v>
      </c>
      <c r="D33" s="85"/>
      <c r="E33" s="83" t="s">
        <v>1035</v>
      </c>
      <c r="F33" s="49" t="s">
        <v>1036</v>
      </c>
      <c r="G33" s="85"/>
      <c r="H33" s="85"/>
      <c r="I33" s="85"/>
      <c r="J33" s="85"/>
      <c r="K33" s="85"/>
      <c r="L33" s="85"/>
      <c r="M33" s="81"/>
      <c r="N33" s="81"/>
      <c r="O33" s="96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</row>
    <row collapsed="false" customFormat="false" customHeight="true" hidden="false" ht="16.2" outlineLevel="0" r="34">
      <c r="A34" s="80"/>
      <c r="B34" s="81" t="s">
        <v>74</v>
      </c>
      <c r="C34" s="85"/>
      <c r="D34" s="85" t="s">
        <v>1038</v>
      </c>
      <c r="E34" s="83" t="s">
        <v>1037</v>
      </c>
      <c r="F34" s="49" t="s">
        <v>1036</v>
      </c>
      <c r="G34" s="85" t="s">
        <v>1039</v>
      </c>
      <c r="H34" s="85" t="n">
        <v>8</v>
      </c>
      <c r="I34" s="85" t="s">
        <v>1040</v>
      </c>
      <c r="J34" s="85" t="n">
        <v>2</v>
      </c>
      <c r="K34" s="85" t="s">
        <v>1041</v>
      </c>
      <c r="L34" s="85" t="s">
        <v>1041</v>
      </c>
      <c r="M34" s="81" t="n">
        <v>360</v>
      </c>
      <c r="N34" s="81"/>
      <c r="O34" s="96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</row>
    <row collapsed="false" customFormat="false" customHeight="true" hidden="false" ht="16.2" outlineLevel="0" r="35">
      <c r="A35" s="80" t="n">
        <v>13</v>
      </c>
      <c r="B35" s="81"/>
      <c r="C35" s="82" t="s">
        <v>1033</v>
      </c>
      <c r="D35" s="85"/>
      <c r="E35" s="83" t="s">
        <v>1035</v>
      </c>
      <c r="F35" s="49"/>
      <c r="G35" s="85"/>
      <c r="H35" s="85"/>
      <c r="I35" s="85"/>
      <c r="J35" s="85"/>
      <c r="K35" s="85"/>
      <c r="L35" s="85"/>
      <c r="M35" s="81"/>
      <c r="N35" s="81"/>
      <c r="O35" s="96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</row>
    <row collapsed="false" customFormat="false" customHeight="true" hidden="false" ht="16.2" outlineLevel="0" r="36">
      <c r="A36" s="80"/>
      <c r="B36" s="81" t="s">
        <v>75</v>
      </c>
      <c r="C36" s="85"/>
      <c r="D36" s="85" t="s">
        <v>1038</v>
      </c>
      <c r="E36" s="83" t="s">
        <v>1037</v>
      </c>
      <c r="F36" s="49" t="s">
        <v>1036</v>
      </c>
      <c r="G36" s="85" t="s">
        <v>1039</v>
      </c>
      <c r="H36" s="85" t="n">
        <v>11</v>
      </c>
      <c r="I36" s="85" t="s">
        <v>1039</v>
      </c>
      <c r="J36" s="85" t="n">
        <v>2</v>
      </c>
      <c r="K36" s="85" t="s">
        <v>1041</v>
      </c>
      <c r="L36" s="85" t="s">
        <v>1041</v>
      </c>
      <c r="M36" s="81" t="n">
        <v>3036</v>
      </c>
      <c r="N36" s="81"/>
      <c r="O36" s="96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</row>
    <row collapsed="false" customFormat="false" customHeight="true" hidden="false" ht="16.2" outlineLevel="0" r="37">
      <c r="A37" s="80" t="n">
        <v>14</v>
      </c>
      <c r="B37" s="81"/>
      <c r="C37" s="82" t="s">
        <v>1033</v>
      </c>
      <c r="D37" s="85"/>
      <c r="E37" s="83" t="s">
        <v>1035</v>
      </c>
      <c r="F37" s="49"/>
      <c r="G37" s="85"/>
      <c r="H37" s="85"/>
      <c r="I37" s="85"/>
      <c r="J37" s="85"/>
      <c r="K37" s="85"/>
      <c r="L37" s="85"/>
      <c r="M37" s="81"/>
      <c r="N37" s="81"/>
      <c r="O37" s="96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</row>
    <row collapsed="false" customFormat="false" customHeight="true" hidden="false" ht="16.2" outlineLevel="0" r="38">
      <c r="A38" s="80"/>
      <c r="B38" s="81" t="s">
        <v>76</v>
      </c>
      <c r="C38" s="85"/>
      <c r="D38" s="85" t="s">
        <v>1038</v>
      </c>
      <c r="E38" s="83" t="s">
        <v>1037</v>
      </c>
      <c r="F38" s="49" t="s">
        <v>1036</v>
      </c>
      <c r="G38" s="85" t="s">
        <v>1039</v>
      </c>
      <c r="H38" s="85" t="n">
        <v>12</v>
      </c>
      <c r="I38" s="85" t="s">
        <v>1039</v>
      </c>
      <c r="J38" s="85" t="n">
        <v>3</v>
      </c>
      <c r="K38" s="85" t="s">
        <v>1041</v>
      </c>
      <c r="L38" s="85" t="s">
        <v>1041</v>
      </c>
      <c r="M38" s="81" t="n">
        <v>3474</v>
      </c>
      <c r="N38" s="81"/>
      <c r="O38" s="96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</row>
    <row collapsed="false" customFormat="false" customHeight="true" hidden="false" ht="16.2" outlineLevel="0" r="39">
      <c r="A39" s="80" t="n">
        <v>15</v>
      </c>
      <c r="B39" s="81"/>
      <c r="C39" s="82" t="s">
        <v>1033</v>
      </c>
      <c r="D39" s="85"/>
      <c r="E39" s="83" t="s">
        <v>1035</v>
      </c>
      <c r="F39" s="49"/>
      <c r="G39" s="85"/>
      <c r="H39" s="85"/>
      <c r="I39" s="85"/>
      <c r="J39" s="85"/>
      <c r="K39" s="85"/>
      <c r="L39" s="85"/>
      <c r="M39" s="81"/>
      <c r="N39" s="81"/>
      <c r="O39" s="96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</row>
    <row collapsed="false" customFormat="false" customHeight="true" hidden="false" ht="16.2" outlineLevel="0" r="40">
      <c r="A40" s="80"/>
      <c r="B40" s="81" t="s">
        <v>77</v>
      </c>
      <c r="C40" s="85"/>
      <c r="D40" s="85" t="s">
        <v>1038</v>
      </c>
      <c r="E40" s="83" t="s">
        <v>1037</v>
      </c>
      <c r="F40" s="49" t="s">
        <v>1036</v>
      </c>
      <c r="G40" s="85" t="s">
        <v>1039</v>
      </c>
      <c r="H40" s="85" t="n">
        <v>12</v>
      </c>
      <c r="I40" s="85" t="s">
        <v>1039</v>
      </c>
      <c r="J40" s="85" t="n">
        <v>3</v>
      </c>
      <c r="K40" s="85" t="s">
        <v>1041</v>
      </c>
      <c r="L40" s="85" t="s">
        <v>1041</v>
      </c>
      <c r="M40" s="81" t="n">
        <v>3282</v>
      </c>
      <c r="N40" s="81"/>
      <c r="O40" s="96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</row>
    <row collapsed="false" customFormat="false" customHeight="true" hidden="false" ht="16.2" outlineLevel="0" r="41">
      <c r="A41" s="80" t="n">
        <v>16</v>
      </c>
      <c r="B41" s="81"/>
      <c r="C41" s="82" t="s">
        <v>1033</v>
      </c>
      <c r="D41" s="85"/>
      <c r="E41" s="83" t="s">
        <v>1035</v>
      </c>
      <c r="F41" s="49"/>
      <c r="G41" s="85"/>
      <c r="H41" s="85"/>
      <c r="I41" s="85"/>
      <c r="J41" s="85"/>
      <c r="K41" s="85"/>
      <c r="L41" s="85"/>
      <c r="M41" s="81"/>
      <c r="N41" s="81"/>
      <c r="O41" s="96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</row>
    <row collapsed="false" customFormat="false" customHeight="true" hidden="false" ht="16.2" outlineLevel="0" r="42">
      <c r="A42" s="80"/>
      <c r="B42" s="81" t="s">
        <v>78</v>
      </c>
      <c r="C42" s="85"/>
      <c r="D42" s="85" t="s">
        <v>1038</v>
      </c>
      <c r="E42" s="83" t="s">
        <v>1037</v>
      </c>
      <c r="F42" s="49" t="s">
        <v>1036</v>
      </c>
      <c r="G42" s="85" t="s">
        <v>1042</v>
      </c>
      <c r="H42" s="85" t="n">
        <v>16</v>
      </c>
      <c r="I42" s="85" t="s">
        <v>1039</v>
      </c>
      <c r="J42" s="85" t="n">
        <v>3</v>
      </c>
      <c r="K42" s="85" t="s">
        <v>1041</v>
      </c>
      <c r="L42" s="85" t="s">
        <v>1041</v>
      </c>
      <c r="M42" s="81" t="n">
        <v>1788</v>
      </c>
      <c r="N42" s="81"/>
      <c r="O42" s="96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</row>
    <row collapsed="false" customFormat="false" customHeight="true" hidden="false" ht="16.2" outlineLevel="0" r="43">
      <c r="A43" s="80" t="n">
        <v>17</v>
      </c>
      <c r="B43" s="81"/>
      <c r="C43" s="82" t="s">
        <v>1033</v>
      </c>
      <c r="D43" s="85"/>
      <c r="E43" s="83" t="s">
        <v>1035</v>
      </c>
      <c r="F43" s="49"/>
      <c r="G43" s="85"/>
      <c r="H43" s="85"/>
      <c r="I43" s="85"/>
      <c r="J43" s="85"/>
      <c r="K43" s="85"/>
      <c r="L43" s="85"/>
      <c r="M43" s="81"/>
      <c r="N43" s="81"/>
      <c r="O43" s="96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collapsed="false" customFormat="false" customHeight="true" hidden="false" ht="16.2" outlineLevel="0" r="44">
      <c r="A44" s="80"/>
      <c r="B44" s="81" t="s">
        <v>80</v>
      </c>
      <c r="C44" s="85"/>
      <c r="D44" s="85" t="s">
        <v>1038</v>
      </c>
      <c r="E44" s="83" t="s">
        <v>1037</v>
      </c>
      <c r="F44" s="49" t="s">
        <v>1036</v>
      </c>
      <c r="G44" s="85" t="s">
        <v>1039</v>
      </c>
      <c r="H44" s="85" t="n">
        <v>18</v>
      </c>
      <c r="I44" s="85" t="s">
        <v>1039</v>
      </c>
      <c r="J44" s="85" t="n">
        <v>5</v>
      </c>
      <c r="K44" s="85" t="s">
        <v>1041</v>
      </c>
      <c r="L44" s="85" t="s">
        <v>1041</v>
      </c>
      <c r="M44" s="81" t="n">
        <v>3618</v>
      </c>
      <c r="N44" s="81"/>
      <c r="O44" s="96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</row>
    <row collapsed="false" customFormat="false" customHeight="true" hidden="false" ht="16.2" outlineLevel="0" r="45">
      <c r="A45" s="80" t="n">
        <v>18</v>
      </c>
      <c r="B45" s="81"/>
      <c r="C45" s="82" t="s">
        <v>1033</v>
      </c>
      <c r="D45" s="85"/>
      <c r="E45" s="83" t="s">
        <v>1035</v>
      </c>
      <c r="F45" s="49"/>
      <c r="G45" s="85"/>
      <c r="H45" s="85"/>
      <c r="I45" s="85"/>
      <c r="J45" s="85"/>
      <c r="K45" s="85"/>
      <c r="L45" s="85"/>
      <c r="M45" s="81"/>
      <c r="N45" s="81"/>
      <c r="O45" s="96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</row>
    <row collapsed="false" customFormat="false" customHeight="true" hidden="false" ht="16.2" outlineLevel="0" r="46">
      <c r="A46" s="80"/>
      <c r="B46" s="81" t="s">
        <v>83</v>
      </c>
      <c r="C46" s="85"/>
      <c r="D46" s="85" t="s">
        <v>1038</v>
      </c>
      <c r="E46" s="83" t="s">
        <v>1037</v>
      </c>
      <c r="F46" s="49" t="s">
        <v>1036</v>
      </c>
      <c r="G46" s="85" t="s">
        <v>1039</v>
      </c>
      <c r="H46" s="85" t="n">
        <v>9</v>
      </c>
      <c r="I46" s="85" t="s">
        <v>1040</v>
      </c>
      <c r="J46" s="85" t="n">
        <v>3</v>
      </c>
      <c r="K46" s="85" t="s">
        <v>1041</v>
      </c>
      <c r="L46" s="85" t="s">
        <v>1041</v>
      </c>
      <c r="M46" s="81" t="n">
        <v>1002</v>
      </c>
      <c r="N46" s="81"/>
      <c r="O46" s="96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</row>
    <row collapsed="false" customFormat="false" customHeight="true" hidden="false" ht="16.2" outlineLevel="0" r="47">
      <c r="A47" s="80" t="n">
        <v>19</v>
      </c>
      <c r="B47" s="81"/>
      <c r="C47" s="82" t="s">
        <v>1033</v>
      </c>
      <c r="D47" s="85"/>
      <c r="E47" s="83" t="s">
        <v>1035</v>
      </c>
      <c r="F47" s="49"/>
      <c r="G47" s="85"/>
      <c r="H47" s="85"/>
      <c r="I47" s="85"/>
      <c r="J47" s="85"/>
      <c r="K47" s="85"/>
      <c r="L47" s="85"/>
      <c r="M47" s="81"/>
      <c r="N47" s="81"/>
      <c r="O47" s="96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</row>
    <row collapsed="false" customFormat="false" customHeight="true" hidden="false" ht="16.2" outlineLevel="0" r="48">
      <c r="A48" s="80"/>
      <c r="B48" s="81" t="s">
        <v>84</v>
      </c>
      <c r="C48" s="85"/>
      <c r="D48" s="85" t="s">
        <v>1038</v>
      </c>
      <c r="E48" s="83" t="s">
        <v>1037</v>
      </c>
      <c r="F48" s="49" t="s">
        <v>1036</v>
      </c>
      <c r="G48" s="85" t="s">
        <v>1039</v>
      </c>
      <c r="H48" s="85" t="n">
        <v>3</v>
      </c>
      <c r="I48" s="85" t="s">
        <v>1040</v>
      </c>
      <c r="J48" s="85" t="n">
        <v>1</v>
      </c>
      <c r="K48" s="85" t="s">
        <v>1041</v>
      </c>
      <c r="L48" s="85" t="s">
        <v>1041</v>
      </c>
      <c r="M48" s="81"/>
      <c r="N48" s="81"/>
      <c r="O48" s="96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</row>
    <row collapsed="false" customFormat="false" customHeight="true" hidden="false" ht="16.2" outlineLevel="0" r="49">
      <c r="A49" s="80" t="n">
        <v>20</v>
      </c>
      <c r="B49" s="81"/>
      <c r="C49" s="82" t="s">
        <v>1033</v>
      </c>
      <c r="D49" s="85"/>
      <c r="E49" s="83" t="s">
        <v>1035</v>
      </c>
      <c r="F49" s="49"/>
      <c r="G49" s="85"/>
      <c r="H49" s="85"/>
      <c r="I49" s="85"/>
      <c r="J49" s="85"/>
      <c r="K49" s="85"/>
      <c r="L49" s="85"/>
      <c r="M49" s="81"/>
      <c r="N49" s="81"/>
      <c r="O49" s="96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</row>
    <row collapsed="false" customFormat="false" customHeight="true" hidden="false" ht="16.2" outlineLevel="0" r="50">
      <c r="A50" s="80"/>
      <c r="B50" s="81" t="s">
        <v>85</v>
      </c>
      <c r="C50" s="85"/>
      <c r="D50" s="85" t="s">
        <v>1038</v>
      </c>
      <c r="E50" s="83" t="s">
        <v>1037</v>
      </c>
      <c r="F50" s="49" t="s">
        <v>1036</v>
      </c>
      <c r="G50" s="85" t="s">
        <v>1039</v>
      </c>
      <c r="H50" s="85" t="n">
        <v>6</v>
      </c>
      <c r="I50" s="85" t="s">
        <v>1039</v>
      </c>
      <c r="J50" s="85" t="n">
        <v>2</v>
      </c>
      <c r="K50" s="85" t="s">
        <v>1041</v>
      </c>
      <c r="L50" s="85" t="s">
        <v>1041</v>
      </c>
      <c r="M50" s="81"/>
      <c r="N50" s="81"/>
      <c r="O50" s="96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</row>
    <row collapsed="false" customFormat="false" customHeight="true" hidden="false" ht="16.2" outlineLevel="0" r="51">
      <c r="A51" s="80" t="n">
        <v>21</v>
      </c>
      <c r="B51" s="81"/>
      <c r="C51" s="82" t="s">
        <v>1033</v>
      </c>
      <c r="D51" s="85"/>
      <c r="E51" s="83" t="s">
        <v>1035</v>
      </c>
      <c r="F51" s="49"/>
      <c r="G51" s="85"/>
      <c r="H51" s="85"/>
      <c r="I51" s="85"/>
      <c r="J51" s="85"/>
      <c r="K51" s="85"/>
      <c r="L51" s="85"/>
      <c r="M51" s="81"/>
      <c r="N51" s="81"/>
      <c r="O51" s="96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</row>
    <row collapsed="false" customFormat="false" customHeight="true" hidden="false" ht="16.2" outlineLevel="0" r="52">
      <c r="A52" s="80"/>
      <c r="B52" s="81" t="s">
        <v>87</v>
      </c>
      <c r="C52" s="85"/>
      <c r="D52" s="85" t="s">
        <v>1038</v>
      </c>
      <c r="E52" s="83" t="s">
        <v>1037</v>
      </c>
      <c r="F52" s="49" t="s">
        <v>1036</v>
      </c>
      <c r="G52" s="85" t="s">
        <v>1039</v>
      </c>
      <c r="H52" s="85" t="n">
        <v>2</v>
      </c>
      <c r="I52" s="85" t="s">
        <v>1039</v>
      </c>
      <c r="J52" s="85" t="n">
        <v>1</v>
      </c>
      <c r="K52" s="85" t="s">
        <v>1041</v>
      </c>
      <c r="L52" s="85" t="s">
        <v>1041</v>
      </c>
      <c r="M52" s="81"/>
      <c r="N52" s="81"/>
      <c r="O52" s="96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</row>
    <row collapsed="false" customFormat="false" customHeight="true" hidden="false" ht="16.2" outlineLevel="0" r="53">
      <c r="A53" s="80" t="n">
        <v>22</v>
      </c>
      <c r="B53" s="81"/>
      <c r="C53" s="82" t="s">
        <v>1033</v>
      </c>
      <c r="D53" s="85"/>
      <c r="E53" s="83" t="s">
        <v>1035</v>
      </c>
      <c r="F53" s="49"/>
      <c r="G53" s="85"/>
      <c r="H53" s="85"/>
      <c r="I53" s="85"/>
      <c r="J53" s="85"/>
      <c r="K53" s="85"/>
      <c r="L53" s="85"/>
      <c r="M53" s="81"/>
      <c r="N53" s="81"/>
      <c r="O53" s="96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</row>
    <row collapsed="false" customFormat="false" customHeight="true" hidden="false" ht="16.2" outlineLevel="0" r="54">
      <c r="A54" s="80"/>
      <c r="B54" s="81" t="s">
        <v>88</v>
      </c>
      <c r="C54" s="85"/>
      <c r="D54" s="85" t="s">
        <v>1038</v>
      </c>
      <c r="E54" s="83" t="s">
        <v>1037</v>
      </c>
      <c r="F54" s="49" t="s">
        <v>1036</v>
      </c>
      <c r="G54" s="85" t="s">
        <v>1039</v>
      </c>
      <c r="H54" s="85"/>
      <c r="I54" s="85" t="s">
        <v>1039</v>
      </c>
      <c r="J54" s="85" t="n">
        <v>1</v>
      </c>
      <c r="K54" s="85" t="s">
        <v>1041</v>
      </c>
      <c r="L54" s="85" t="s">
        <v>1041</v>
      </c>
      <c r="M54" s="81"/>
      <c r="N54" s="81"/>
      <c r="O54" s="96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</row>
    <row collapsed="false" customFormat="false" customHeight="true" hidden="false" ht="16.2" outlineLevel="0" r="55">
      <c r="A55" s="80" t="n">
        <v>23</v>
      </c>
      <c r="B55" s="81" t="s">
        <v>90</v>
      </c>
      <c r="C55" s="82" t="s">
        <v>1033</v>
      </c>
      <c r="D55" s="82" t="s">
        <v>1034</v>
      </c>
      <c r="E55" s="83" t="s">
        <v>1035</v>
      </c>
      <c r="F55" s="84" t="s">
        <v>1036</v>
      </c>
      <c r="G55" s="85"/>
      <c r="H55" s="85"/>
      <c r="I55" s="85"/>
      <c r="J55" s="85"/>
      <c r="K55" s="86" t="s">
        <v>53</v>
      </c>
      <c r="L55" s="86" t="s">
        <v>53</v>
      </c>
      <c r="M55" s="90"/>
      <c r="N55" s="90"/>
      <c r="O55" s="90"/>
      <c r="P55" s="90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90"/>
      <c r="AF55" s="81"/>
      <c r="AG55" s="81"/>
      <c r="AH55" s="81"/>
      <c r="AI55" s="81"/>
      <c r="AJ55" s="81"/>
      <c r="AK55" s="81"/>
      <c r="AL55" s="81"/>
      <c r="AM55" s="81" t="n">
        <f aca="false">O55+Q55+S55+U55+W55+Y55+AA55+AC55+AE55+AG55+AI55+AK55</f>
        <v>0</v>
      </c>
    </row>
    <row collapsed="false" customFormat="false" customHeight="true" hidden="false" ht="16.2" outlineLevel="0" r="56">
      <c r="A56" s="80"/>
      <c r="B56" s="89"/>
      <c r="C56" s="85"/>
      <c r="D56" s="85"/>
      <c r="E56" s="83" t="s">
        <v>1037</v>
      </c>
      <c r="F56" s="84" t="s">
        <v>1036</v>
      </c>
      <c r="G56" s="85"/>
      <c r="H56" s="85"/>
      <c r="I56" s="85"/>
      <c r="J56" s="85"/>
      <c r="K56" s="86"/>
      <c r="L56" s="86"/>
      <c r="M56" s="90" t="n">
        <f aca="false">522+428</f>
        <v>950</v>
      </c>
      <c r="N56" s="91" t="n">
        <f aca="false">644+592+112</f>
        <v>1348</v>
      </c>
      <c r="O56" s="90" t="n">
        <v>169</v>
      </c>
      <c r="P56" s="90" t="s">
        <v>1005</v>
      </c>
      <c r="Q56" s="81" t="n">
        <v>155</v>
      </c>
      <c r="R56" s="90" t="s">
        <v>1005</v>
      </c>
      <c r="S56" s="81" t="n">
        <v>105</v>
      </c>
      <c r="T56" s="81" t="s">
        <v>1005</v>
      </c>
      <c r="U56" s="81" t="n">
        <v>86</v>
      </c>
      <c r="V56" s="81" t="s">
        <v>1005</v>
      </c>
      <c r="W56" s="81" t="n">
        <v>79</v>
      </c>
      <c r="X56" s="81" t="s">
        <v>1005</v>
      </c>
      <c r="Y56" s="81" t="n">
        <v>41</v>
      </c>
      <c r="Z56" s="81" t="s">
        <v>1005</v>
      </c>
      <c r="AA56" s="81" t="n">
        <v>24</v>
      </c>
      <c r="AB56" s="81" t="s">
        <v>1005</v>
      </c>
      <c r="AC56" s="81" t="n">
        <v>49</v>
      </c>
      <c r="AD56" s="81" t="s">
        <v>1005</v>
      </c>
      <c r="AE56" s="90" t="e">
        <f aca="false">+</f>
        <v>#N/A</v>
      </c>
      <c r="AF56" s="81" t="s">
        <v>1005</v>
      </c>
      <c r="AG56" s="81" t="n">
        <f aca="false">50+45</f>
        <v>95</v>
      </c>
      <c r="AH56" s="81" t="s">
        <v>1005</v>
      </c>
      <c r="AI56" s="81" t="n">
        <f aca="false">80+73</f>
        <v>153</v>
      </c>
      <c r="AJ56" s="81" t="s">
        <v>1005</v>
      </c>
      <c r="AK56" s="81" t="n">
        <f aca="false">90+57</f>
        <v>147</v>
      </c>
      <c r="AL56" s="81" t="s">
        <v>1005</v>
      </c>
      <c r="AM56" s="81" t="e">
        <f aca="false">O56+Q56+S56+U56+W56+Y56+AA56+AC56+AE56+AG56+AI56+AK56</f>
        <v>#N/A</v>
      </c>
    </row>
    <row collapsed="false" customFormat="false" customHeight="true" hidden="false" ht="16.2" outlineLevel="0" r="57">
      <c r="A57" s="80" t="n">
        <v>24</v>
      </c>
      <c r="B57" s="81" t="s">
        <v>92</v>
      </c>
      <c r="C57" s="82" t="s">
        <v>1033</v>
      </c>
      <c r="D57" s="82" t="s">
        <v>1034</v>
      </c>
      <c r="E57" s="83" t="s">
        <v>1035</v>
      </c>
      <c r="F57" s="84" t="s">
        <v>1036</v>
      </c>
      <c r="G57" s="85"/>
      <c r="H57" s="85"/>
      <c r="I57" s="85"/>
      <c r="J57" s="85"/>
      <c r="K57" s="86" t="s">
        <v>53</v>
      </c>
      <c r="L57" s="86" t="s">
        <v>53</v>
      </c>
      <c r="M57" s="90"/>
      <c r="N57" s="90"/>
      <c r="O57" s="90"/>
      <c r="P57" s="90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90"/>
      <c r="AF57" s="81"/>
      <c r="AG57" s="81"/>
      <c r="AH57" s="81"/>
      <c r="AI57" s="81"/>
      <c r="AJ57" s="81"/>
      <c r="AK57" s="81"/>
      <c r="AL57" s="81"/>
      <c r="AM57" s="81" t="n">
        <f aca="false">O57+Q57+S57+U57+W57+Y57+AA57+AC57+AE57+AG57+AI57+AK57</f>
        <v>0</v>
      </c>
    </row>
    <row collapsed="false" customFormat="false" customHeight="true" hidden="false" ht="16.2" outlineLevel="0" r="58">
      <c r="A58" s="80"/>
      <c r="B58" s="89"/>
      <c r="C58" s="85"/>
      <c r="D58" s="85"/>
      <c r="E58" s="83" t="s">
        <v>1037</v>
      </c>
      <c r="F58" s="84" t="s">
        <v>1036</v>
      </c>
      <c r="G58" s="85"/>
      <c r="H58" s="85"/>
      <c r="I58" s="85"/>
      <c r="J58" s="85"/>
      <c r="K58" s="86"/>
      <c r="L58" s="86"/>
      <c r="M58" s="90" t="n">
        <f aca="false">1501+860</f>
        <v>2361</v>
      </c>
      <c r="N58" s="91" t="n">
        <f aca="false">1533+937</f>
        <v>2470</v>
      </c>
      <c r="O58" s="90" t="n">
        <v>386</v>
      </c>
      <c r="P58" s="90" t="s">
        <v>1005</v>
      </c>
      <c r="Q58" s="81" t="n">
        <v>384</v>
      </c>
      <c r="R58" s="90" t="s">
        <v>1005</v>
      </c>
      <c r="S58" s="81" t="n">
        <v>270</v>
      </c>
      <c r="T58" s="81" t="s">
        <v>1005</v>
      </c>
      <c r="U58" s="81" t="n">
        <v>253</v>
      </c>
      <c r="V58" s="81" t="s">
        <v>1005</v>
      </c>
      <c r="W58" s="81" t="n">
        <v>127</v>
      </c>
      <c r="X58" s="81" t="s">
        <v>1005</v>
      </c>
      <c r="Y58" s="81" t="n">
        <v>100</v>
      </c>
      <c r="Z58" s="81" t="s">
        <v>1005</v>
      </c>
      <c r="AA58" s="81" t="n">
        <v>162</v>
      </c>
      <c r="AB58" s="81" t="s">
        <v>1005</v>
      </c>
      <c r="AC58" s="81" t="n">
        <v>197</v>
      </c>
      <c r="AD58" s="81" t="s">
        <v>1005</v>
      </c>
      <c r="AE58" s="90" t="e">
        <f aca="false">+</f>
        <v>#N/A</v>
      </c>
      <c r="AF58" s="81" t="s">
        <v>1005</v>
      </c>
      <c r="AG58" s="81" t="n">
        <f aca="false">200+115</f>
        <v>315</v>
      </c>
      <c r="AH58" s="81" t="s">
        <v>1005</v>
      </c>
      <c r="AI58" s="81" t="n">
        <f aca="false">241+139</f>
        <v>380</v>
      </c>
      <c r="AJ58" s="81" t="s">
        <v>1005</v>
      </c>
      <c r="AK58" s="81" t="n">
        <f aca="false">207+102</f>
        <v>309</v>
      </c>
      <c r="AL58" s="81" t="s">
        <v>1005</v>
      </c>
      <c r="AM58" s="81" t="e">
        <f aca="false">O58+Q58+S58+U58+W58+Y58+AA58+AC58+AE58+AG58+AI58+AK58</f>
        <v>#N/A</v>
      </c>
    </row>
    <row collapsed="false" customFormat="false" customHeight="true" hidden="false" ht="16.2" outlineLevel="0" r="59">
      <c r="A59" s="80" t="n">
        <v>25</v>
      </c>
      <c r="B59" s="81" t="s">
        <v>94</v>
      </c>
      <c r="C59" s="82" t="s">
        <v>1033</v>
      </c>
      <c r="D59" s="82" t="s">
        <v>1034</v>
      </c>
      <c r="E59" s="83" t="s">
        <v>1035</v>
      </c>
      <c r="F59" s="84" t="s">
        <v>1036</v>
      </c>
      <c r="G59" s="85"/>
      <c r="H59" s="85"/>
      <c r="I59" s="85"/>
      <c r="J59" s="85"/>
      <c r="K59" s="86" t="s">
        <v>53</v>
      </c>
      <c r="L59" s="86" t="s">
        <v>53</v>
      </c>
      <c r="M59" s="90"/>
      <c r="N59" s="90"/>
      <c r="O59" s="90"/>
      <c r="P59" s="90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90"/>
      <c r="AF59" s="81"/>
      <c r="AG59" s="81"/>
      <c r="AH59" s="81"/>
      <c r="AI59" s="81"/>
      <c r="AJ59" s="81"/>
      <c r="AK59" s="81"/>
      <c r="AL59" s="81"/>
      <c r="AM59" s="81" t="n">
        <f aca="false">O59+Q59+S59+U59+W59+Y59+AA59+AC59+AE59+AG59+AI59+AK59</f>
        <v>0</v>
      </c>
    </row>
    <row collapsed="false" customFormat="false" customHeight="true" hidden="false" ht="16.2" outlineLevel="0" r="60">
      <c r="A60" s="80"/>
      <c r="B60" s="89"/>
      <c r="C60" s="85"/>
      <c r="D60" s="85"/>
      <c r="E60" s="83" t="s">
        <v>1037</v>
      </c>
      <c r="F60" s="84" t="s">
        <v>1036</v>
      </c>
      <c r="G60" s="85"/>
      <c r="H60" s="85"/>
      <c r="I60" s="85"/>
      <c r="J60" s="85"/>
      <c r="K60" s="86"/>
      <c r="L60" s="86"/>
      <c r="M60" s="90" t="n">
        <f aca="false">2732</f>
        <v>2732</v>
      </c>
      <c r="N60" s="91" t="n">
        <f aca="false">1772+628</f>
        <v>2400</v>
      </c>
      <c r="O60" s="90" t="n">
        <v>192</v>
      </c>
      <c r="P60" s="90" t="s">
        <v>1005</v>
      </c>
      <c r="Q60" s="81" t="n">
        <v>181</v>
      </c>
      <c r="R60" s="90" t="s">
        <v>1005</v>
      </c>
      <c r="S60" s="81" t="n">
        <v>111</v>
      </c>
      <c r="T60" s="81" t="s">
        <v>1005</v>
      </c>
      <c r="U60" s="81" t="n">
        <v>192</v>
      </c>
      <c r="V60" s="81" t="s">
        <v>1005</v>
      </c>
      <c r="W60" s="81" t="n">
        <v>149</v>
      </c>
      <c r="X60" s="81" t="s">
        <v>1005</v>
      </c>
      <c r="Y60" s="81" t="n">
        <v>110</v>
      </c>
      <c r="Z60" s="81" t="s">
        <v>1005</v>
      </c>
      <c r="AA60" s="81" t="n">
        <v>101</v>
      </c>
      <c r="AB60" s="81" t="s">
        <v>1005</v>
      </c>
      <c r="AC60" s="81" t="n">
        <v>124</v>
      </c>
      <c r="AD60" s="81" t="s">
        <v>1005</v>
      </c>
      <c r="AE60" s="90" t="e">
        <f aca="false">+</f>
        <v>#N/A</v>
      </c>
      <c r="AF60" s="81" t="s">
        <v>1005</v>
      </c>
      <c r="AG60" s="81" t="n">
        <f aca="false">78+65</f>
        <v>143</v>
      </c>
      <c r="AH60" s="81" t="s">
        <v>1005</v>
      </c>
      <c r="AI60" s="81" t="n">
        <f aca="false">164+122</f>
        <v>286</v>
      </c>
      <c r="AJ60" s="81" t="s">
        <v>1005</v>
      </c>
      <c r="AK60" s="81" t="n">
        <f aca="false">214+147</f>
        <v>361</v>
      </c>
      <c r="AL60" s="81" t="s">
        <v>1005</v>
      </c>
      <c r="AM60" s="81" t="e">
        <f aca="false">O60+Q60+S60+U60+W60+Y60+AA60+AC60+AE60+AG60+AI60+AK60</f>
        <v>#N/A</v>
      </c>
    </row>
    <row collapsed="false" customFormat="false" customHeight="true" hidden="false" ht="16.2" outlineLevel="0" r="61">
      <c r="A61" s="80" t="n">
        <v>26</v>
      </c>
      <c r="B61" s="81" t="s">
        <v>95</v>
      </c>
      <c r="C61" s="82" t="s">
        <v>1033</v>
      </c>
      <c r="D61" s="82" t="s">
        <v>1034</v>
      </c>
      <c r="E61" s="83" t="s">
        <v>1035</v>
      </c>
      <c r="F61" s="84" t="s">
        <v>1036</v>
      </c>
      <c r="G61" s="85"/>
      <c r="H61" s="85"/>
      <c r="I61" s="85"/>
      <c r="J61" s="85"/>
      <c r="K61" s="86" t="s">
        <v>53</v>
      </c>
      <c r="L61" s="86" t="s">
        <v>53</v>
      </c>
      <c r="M61" s="90"/>
      <c r="N61" s="90"/>
      <c r="O61" s="90"/>
      <c r="P61" s="90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90"/>
      <c r="AF61" s="81"/>
      <c r="AG61" s="81"/>
      <c r="AH61" s="81"/>
      <c r="AI61" s="81"/>
      <c r="AJ61" s="81"/>
      <c r="AK61" s="81"/>
      <c r="AL61" s="81"/>
      <c r="AM61" s="81" t="n">
        <f aca="false">O61+Q61+S61+U61+W61+Y61+AA61+AC61+AE61+AG61+AI61+AK61</f>
        <v>0</v>
      </c>
    </row>
    <row collapsed="false" customFormat="false" customHeight="true" hidden="false" ht="16.2" outlineLevel="0" r="62">
      <c r="A62" s="80"/>
      <c r="B62" s="97"/>
      <c r="C62" s="85"/>
      <c r="D62" s="85"/>
      <c r="E62" s="83" t="s">
        <v>1037</v>
      </c>
      <c r="F62" s="84" t="s">
        <v>1036</v>
      </c>
      <c r="G62" s="85"/>
      <c r="H62" s="85"/>
      <c r="I62" s="85"/>
      <c r="J62" s="85"/>
      <c r="K62" s="86"/>
      <c r="L62" s="86"/>
      <c r="M62" s="90" t="n">
        <f aca="false">377+266+223+203</f>
        <v>1069</v>
      </c>
      <c r="N62" s="90" t="n">
        <f aca="false">1565+954+292+270</f>
        <v>3081</v>
      </c>
      <c r="O62" s="90" t="n">
        <v>381</v>
      </c>
      <c r="P62" s="90" t="s">
        <v>1005</v>
      </c>
      <c r="Q62" s="81" t="n">
        <v>343</v>
      </c>
      <c r="R62" s="90" t="s">
        <v>1005</v>
      </c>
      <c r="S62" s="81" t="n">
        <v>381</v>
      </c>
      <c r="T62" s="81" t="s">
        <v>1005</v>
      </c>
      <c r="U62" s="81" t="n">
        <v>349</v>
      </c>
      <c r="V62" s="81" t="s">
        <v>1005</v>
      </c>
      <c r="W62" s="81" t="n">
        <v>189</v>
      </c>
      <c r="X62" s="81" t="s">
        <v>1005</v>
      </c>
      <c r="Y62" s="81" t="n">
        <v>57</v>
      </c>
      <c r="Z62" s="81" t="s">
        <v>1005</v>
      </c>
      <c r="AA62" s="81" t="n">
        <v>61</v>
      </c>
      <c r="AB62" s="81" t="s">
        <v>1005</v>
      </c>
      <c r="AC62" s="81" t="n">
        <v>66</v>
      </c>
      <c r="AD62" s="81" t="s">
        <v>1005</v>
      </c>
      <c r="AE62" s="90" t="e">
        <f aca="false">+++</f>
        <v>#N/A</v>
      </c>
      <c r="AF62" s="81" t="s">
        <v>1005</v>
      </c>
      <c r="AG62" s="81" t="n">
        <f aca="false">371+232+17+17</f>
        <v>637</v>
      </c>
      <c r="AH62" s="81" t="s">
        <v>1005</v>
      </c>
      <c r="AI62" s="81" t="n">
        <f aca="false">207+105+23+33</f>
        <v>368</v>
      </c>
      <c r="AJ62" s="81" t="s">
        <v>1005</v>
      </c>
      <c r="AK62" s="81" t="n">
        <f aca="false">214+109+34+24</f>
        <v>381</v>
      </c>
      <c r="AL62" s="81" t="s">
        <v>1005</v>
      </c>
      <c r="AM62" s="81" t="e">
        <f aca="false">O62+Q62+S62+U62+W62+Y62+AA62+AC62+AE62+AG62+AI62+AK62</f>
        <v>#N/A</v>
      </c>
    </row>
    <row collapsed="false" customFormat="false" customHeight="true" hidden="false" ht="16.2" outlineLevel="0" r="63">
      <c r="A63" s="80" t="n">
        <v>27</v>
      </c>
      <c r="B63" s="81" t="s">
        <v>97</v>
      </c>
      <c r="C63" s="82" t="s">
        <v>1033</v>
      </c>
      <c r="D63" s="82" t="s">
        <v>1034</v>
      </c>
      <c r="E63" s="83" t="s">
        <v>1035</v>
      </c>
      <c r="F63" s="84" t="s">
        <v>1036</v>
      </c>
      <c r="G63" s="85"/>
      <c r="H63" s="85"/>
      <c r="I63" s="85"/>
      <c r="J63" s="85"/>
      <c r="K63" s="86" t="s">
        <v>53</v>
      </c>
      <c r="L63" s="86" t="s">
        <v>53</v>
      </c>
      <c r="M63" s="90"/>
      <c r="N63" s="90"/>
      <c r="O63" s="90"/>
      <c r="P63" s="90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90"/>
      <c r="AF63" s="81"/>
      <c r="AG63" s="81"/>
      <c r="AH63" s="81"/>
      <c r="AI63" s="81"/>
      <c r="AJ63" s="81"/>
      <c r="AK63" s="81"/>
      <c r="AL63" s="81"/>
      <c r="AM63" s="81" t="n">
        <f aca="false">O63+Q63+S63+U63+W63+Y63+AA63+AC63+AE63+AG63+AI63+AK63</f>
        <v>0</v>
      </c>
    </row>
    <row collapsed="false" customFormat="false" customHeight="true" hidden="false" ht="16.2" outlineLevel="0" r="64">
      <c r="A64" s="80"/>
      <c r="B64" s="89"/>
      <c r="C64" s="85"/>
      <c r="D64" s="85"/>
      <c r="E64" s="83" t="s">
        <v>1037</v>
      </c>
      <c r="F64" s="84" t="s">
        <v>1036</v>
      </c>
      <c r="G64" s="85"/>
      <c r="H64" s="85"/>
      <c r="I64" s="85"/>
      <c r="J64" s="85"/>
      <c r="K64" s="86"/>
      <c r="L64" s="86"/>
      <c r="M64" s="90" t="n">
        <f aca="false">1047+1522</f>
        <v>2569</v>
      </c>
      <c r="N64" s="91" t="n">
        <f aca="false">1199+1392</f>
        <v>2591</v>
      </c>
      <c r="O64" s="90" t="n">
        <v>422</v>
      </c>
      <c r="P64" s="90" t="s">
        <v>1005</v>
      </c>
      <c r="Q64" s="81" t="n">
        <v>368</v>
      </c>
      <c r="R64" s="90" t="s">
        <v>1005</v>
      </c>
      <c r="S64" s="81" t="n">
        <v>261</v>
      </c>
      <c r="T64" s="81" t="s">
        <v>1005</v>
      </c>
      <c r="U64" s="81" t="n">
        <v>201</v>
      </c>
      <c r="V64" s="81" t="s">
        <v>1005</v>
      </c>
      <c r="W64" s="81" t="n">
        <v>172</v>
      </c>
      <c r="X64" s="81" t="s">
        <v>1005</v>
      </c>
      <c r="Y64" s="81" t="n">
        <v>108</v>
      </c>
      <c r="Z64" s="81" t="s">
        <v>1005</v>
      </c>
      <c r="AA64" s="81" t="n">
        <v>45</v>
      </c>
      <c r="AB64" s="81" t="s">
        <v>1005</v>
      </c>
      <c r="AC64" s="81" t="n">
        <v>86</v>
      </c>
      <c r="AD64" s="81" t="s">
        <v>1005</v>
      </c>
      <c r="AE64" s="90" t="e">
        <f aca="false">+</f>
        <v>#N/A</v>
      </c>
      <c r="AF64" s="81" t="s">
        <v>1005</v>
      </c>
      <c r="AG64" s="81" t="n">
        <f aca="false">73+101</f>
        <v>174</v>
      </c>
      <c r="AH64" s="81" t="s">
        <v>1005</v>
      </c>
      <c r="AI64" s="81" t="n">
        <f aca="false">193+208</f>
        <v>401</v>
      </c>
      <c r="AJ64" s="81" t="s">
        <v>1005</v>
      </c>
      <c r="AK64" s="81" t="n">
        <f aca="false">265+222</f>
        <v>487</v>
      </c>
      <c r="AL64" s="81" t="s">
        <v>1005</v>
      </c>
      <c r="AM64" s="81" t="e">
        <f aca="false">O64+Q64+S64+U64+W64+Y64+AA64+AC64+AE64+AG64+AI64+AK64</f>
        <v>#N/A</v>
      </c>
    </row>
    <row collapsed="false" customFormat="false" customHeight="true" hidden="false" ht="16.2" outlineLevel="0" r="65">
      <c r="A65" s="80" t="n">
        <v>28</v>
      </c>
      <c r="B65" s="81" t="s">
        <v>99</v>
      </c>
      <c r="C65" s="82" t="s">
        <v>1033</v>
      </c>
      <c r="D65" s="82" t="s">
        <v>1034</v>
      </c>
      <c r="E65" s="83" t="s">
        <v>1035</v>
      </c>
      <c r="F65" s="84" t="s">
        <v>1036</v>
      </c>
      <c r="G65" s="85"/>
      <c r="H65" s="85"/>
      <c r="I65" s="85"/>
      <c r="J65" s="85"/>
      <c r="K65" s="86" t="s">
        <v>53</v>
      </c>
      <c r="L65" s="86" t="s">
        <v>53</v>
      </c>
      <c r="M65" s="90"/>
      <c r="N65" s="90"/>
      <c r="O65" s="90"/>
      <c r="P65" s="90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90"/>
      <c r="AF65" s="81"/>
      <c r="AG65" s="81"/>
      <c r="AH65" s="81"/>
      <c r="AI65" s="81"/>
      <c r="AJ65" s="81"/>
      <c r="AK65" s="81"/>
      <c r="AL65" s="81"/>
      <c r="AM65" s="81" t="n">
        <f aca="false">O65+Q65+S65+U65+W65+Y65+AA65+AC65+AE65+AG65+AI65+AK65</f>
        <v>0</v>
      </c>
    </row>
    <row collapsed="false" customFormat="false" customHeight="true" hidden="false" ht="16.2" outlineLevel="0" r="66">
      <c r="A66" s="80"/>
      <c r="B66" s="89"/>
      <c r="C66" s="85"/>
      <c r="D66" s="85"/>
      <c r="E66" s="83" t="s">
        <v>1037</v>
      </c>
      <c r="F66" s="84" t="s">
        <v>1036</v>
      </c>
      <c r="G66" s="85"/>
      <c r="H66" s="85"/>
      <c r="I66" s="85"/>
      <c r="J66" s="85"/>
      <c r="K66" s="86"/>
      <c r="L66" s="86"/>
      <c r="M66" s="90" t="n">
        <f aca="false">3681+4433</f>
        <v>8114</v>
      </c>
      <c r="N66" s="91" t="n">
        <f aca="false">2518+3547</f>
        <v>6065</v>
      </c>
      <c r="O66" s="90" t="n">
        <v>773</v>
      </c>
      <c r="P66" s="90" t="s">
        <v>1005</v>
      </c>
      <c r="Q66" s="81" t="n">
        <v>639</v>
      </c>
      <c r="R66" s="90" t="s">
        <v>1005</v>
      </c>
      <c r="S66" s="81" t="n">
        <v>484</v>
      </c>
      <c r="T66" s="81" t="s">
        <v>1005</v>
      </c>
      <c r="U66" s="81" t="n">
        <v>430</v>
      </c>
      <c r="V66" s="81" t="s">
        <v>1005</v>
      </c>
      <c r="W66" s="81" t="n">
        <v>417</v>
      </c>
      <c r="X66" s="81" t="s">
        <v>1005</v>
      </c>
      <c r="Y66" s="81" t="n">
        <v>180</v>
      </c>
      <c r="Z66" s="81" t="s">
        <v>1005</v>
      </c>
      <c r="AA66" s="81" t="n">
        <v>89</v>
      </c>
      <c r="AB66" s="81" t="s">
        <v>1005</v>
      </c>
      <c r="AC66" s="81" t="n">
        <v>160</v>
      </c>
      <c r="AD66" s="81" t="s">
        <v>1005</v>
      </c>
      <c r="AE66" s="90" t="e">
        <f aca="false">+</f>
        <v>#N/A</v>
      </c>
      <c r="AF66" s="81" t="s">
        <v>1005</v>
      </c>
      <c r="AG66" s="81" t="n">
        <f aca="false">396+406</f>
        <v>802</v>
      </c>
      <c r="AH66" s="81" t="s">
        <v>1005</v>
      </c>
      <c r="AI66" s="81" t="n">
        <f aca="false">517+471</f>
        <v>988</v>
      </c>
      <c r="AJ66" s="81" t="s">
        <v>1005</v>
      </c>
      <c r="AK66" s="81" t="n">
        <f aca="false">519+393</f>
        <v>912</v>
      </c>
      <c r="AL66" s="81" t="s">
        <v>1005</v>
      </c>
      <c r="AM66" s="81" t="e">
        <f aca="false">O66+Q66+S66+U66+W66+Y66+AA66+AC66+AE66+AG66+AI66+AK66</f>
        <v>#N/A</v>
      </c>
    </row>
    <row collapsed="false" customFormat="false" customHeight="true" hidden="false" ht="16.2" outlineLevel="0" r="67">
      <c r="A67" s="80" t="n">
        <v>29</v>
      </c>
      <c r="B67" s="81" t="s">
        <v>100</v>
      </c>
      <c r="C67" s="82" t="s">
        <v>1033</v>
      </c>
      <c r="D67" s="82" t="s">
        <v>1034</v>
      </c>
      <c r="E67" s="83" t="s">
        <v>1035</v>
      </c>
      <c r="F67" s="84" t="s">
        <v>1036</v>
      </c>
      <c r="G67" s="85"/>
      <c r="H67" s="85"/>
      <c r="I67" s="85"/>
      <c r="J67" s="85"/>
      <c r="K67" s="86" t="s">
        <v>53</v>
      </c>
      <c r="L67" s="86" t="s">
        <v>53</v>
      </c>
      <c r="M67" s="90"/>
      <c r="N67" s="90"/>
      <c r="O67" s="90"/>
      <c r="P67" s="90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90"/>
      <c r="AF67" s="81"/>
      <c r="AG67" s="81"/>
      <c r="AH67" s="81"/>
      <c r="AI67" s="81"/>
      <c r="AJ67" s="81"/>
      <c r="AK67" s="81"/>
      <c r="AL67" s="81"/>
      <c r="AM67" s="81" t="n">
        <f aca="false">O67+Q67+S67+U67+W67+Y67+AA67+AC67+AE67+AG67+AI67+AK67</f>
        <v>0</v>
      </c>
    </row>
    <row collapsed="false" customFormat="false" customHeight="true" hidden="false" ht="16.2" outlineLevel="0" r="68">
      <c r="A68" s="80"/>
      <c r="B68" s="89"/>
      <c r="C68" s="85"/>
      <c r="D68" s="85"/>
      <c r="E68" s="83" t="s">
        <v>1037</v>
      </c>
      <c r="F68" s="84" t="s">
        <v>1036</v>
      </c>
      <c r="G68" s="85"/>
      <c r="H68" s="85"/>
      <c r="I68" s="85"/>
      <c r="J68" s="85"/>
      <c r="K68" s="86"/>
      <c r="L68" s="86"/>
      <c r="M68" s="90" t="n">
        <f aca="false">2285+2454</f>
        <v>4739</v>
      </c>
      <c r="N68" s="91" t="n">
        <f aca="false">2833+2640</f>
        <v>5473</v>
      </c>
      <c r="O68" s="90" t="n">
        <v>696</v>
      </c>
      <c r="P68" s="90" t="s">
        <v>1005</v>
      </c>
      <c r="Q68" s="81" t="n">
        <v>572</v>
      </c>
      <c r="R68" s="90" t="s">
        <v>1005</v>
      </c>
      <c r="S68" s="81" t="n">
        <v>451</v>
      </c>
      <c r="T68" s="81" t="s">
        <v>1005</v>
      </c>
      <c r="U68" s="81" t="n">
        <v>428</v>
      </c>
      <c r="V68" s="81" t="s">
        <v>1005</v>
      </c>
      <c r="W68" s="81" t="n">
        <v>265</v>
      </c>
      <c r="X68" s="81" t="s">
        <v>1005</v>
      </c>
      <c r="Y68" s="81" t="n">
        <v>237</v>
      </c>
      <c r="Z68" s="81" t="s">
        <v>1005</v>
      </c>
      <c r="AA68" s="81" t="n">
        <v>165</v>
      </c>
      <c r="AB68" s="81" t="s">
        <v>1005</v>
      </c>
      <c r="AC68" s="81" t="n">
        <v>208</v>
      </c>
      <c r="AD68" s="81" t="s">
        <v>1005</v>
      </c>
      <c r="AE68" s="90" t="e">
        <f aca="false">+</f>
        <v>#N/A</v>
      </c>
      <c r="AF68" s="81" t="s">
        <v>1005</v>
      </c>
      <c r="AG68" s="81" t="n">
        <f aca="false">209+226</f>
        <v>435</v>
      </c>
      <c r="AH68" s="81" t="s">
        <v>1005</v>
      </c>
      <c r="AI68" s="81" t="n">
        <f aca="false">315+263</f>
        <v>578</v>
      </c>
      <c r="AJ68" s="81" t="s">
        <v>1005</v>
      </c>
      <c r="AK68" s="81" t="n">
        <f aca="false">317+234</f>
        <v>551</v>
      </c>
      <c r="AL68" s="81" t="s">
        <v>1005</v>
      </c>
      <c r="AM68" s="81" t="e">
        <f aca="false">O68+Q68+S68+U68+W68+Y68+AA68+AC68+AE68+AG68+AI68+AK68</f>
        <v>#N/A</v>
      </c>
    </row>
    <row collapsed="false" customFormat="false" customHeight="true" hidden="false" ht="16.2" outlineLevel="0" r="69">
      <c r="A69" s="80" t="n">
        <v>30</v>
      </c>
      <c r="B69" s="81" t="s">
        <v>102</v>
      </c>
      <c r="C69" s="82" t="s">
        <v>1033</v>
      </c>
      <c r="D69" s="82" t="s">
        <v>1034</v>
      </c>
      <c r="E69" s="83" t="s">
        <v>1035</v>
      </c>
      <c r="F69" s="84" t="s">
        <v>1036</v>
      </c>
      <c r="G69" s="85"/>
      <c r="H69" s="85"/>
      <c r="I69" s="85"/>
      <c r="J69" s="85"/>
      <c r="K69" s="86" t="s">
        <v>53</v>
      </c>
      <c r="L69" s="86" t="s">
        <v>53</v>
      </c>
      <c r="M69" s="90"/>
      <c r="N69" s="90"/>
      <c r="O69" s="90"/>
      <c r="P69" s="90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90"/>
      <c r="AF69" s="81"/>
      <c r="AG69" s="81"/>
      <c r="AH69" s="81"/>
      <c r="AI69" s="81"/>
      <c r="AJ69" s="81"/>
      <c r="AK69" s="81"/>
      <c r="AL69" s="81"/>
      <c r="AM69" s="81" t="n">
        <f aca="false">O69+Q69+S69+U69+W69+Y69+AA69+AC69+AE69+AG69+AI69+AK69</f>
        <v>0</v>
      </c>
    </row>
    <row collapsed="false" customFormat="false" customHeight="true" hidden="false" ht="16.2" outlineLevel="0" r="70">
      <c r="A70" s="80"/>
      <c r="B70" s="89"/>
      <c r="C70" s="85"/>
      <c r="D70" s="85"/>
      <c r="E70" s="83" t="s">
        <v>1037</v>
      </c>
      <c r="F70" s="84" t="s">
        <v>1036</v>
      </c>
      <c r="G70" s="85"/>
      <c r="H70" s="85"/>
      <c r="I70" s="85"/>
      <c r="J70" s="85"/>
      <c r="K70" s="86"/>
      <c r="L70" s="86"/>
      <c r="M70" s="90" t="n">
        <f aca="false">1570+1085</f>
        <v>2655</v>
      </c>
      <c r="N70" s="91" t="n">
        <f aca="false">2129+1377</f>
        <v>3506</v>
      </c>
      <c r="O70" s="90" t="n">
        <v>347</v>
      </c>
      <c r="P70" s="90" t="s">
        <v>1005</v>
      </c>
      <c r="Q70" s="81" t="n">
        <v>320</v>
      </c>
      <c r="R70" s="90" t="s">
        <v>1005</v>
      </c>
      <c r="S70" s="81" t="n">
        <v>266</v>
      </c>
      <c r="T70" s="81" t="s">
        <v>1005</v>
      </c>
      <c r="U70" s="81" t="n">
        <v>264</v>
      </c>
      <c r="V70" s="81" t="s">
        <v>1005</v>
      </c>
      <c r="W70" s="81" t="n">
        <v>230</v>
      </c>
      <c r="X70" s="81" t="s">
        <v>1005</v>
      </c>
      <c r="Y70" s="81" t="n">
        <v>231</v>
      </c>
      <c r="Z70" s="81" t="s">
        <v>1005</v>
      </c>
      <c r="AA70" s="81" t="n">
        <v>214</v>
      </c>
      <c r="AB70" s="81" t="s">
        <v>1005</v>
      </c>
      <c r="AC70" s="81" t="n">
        <v>205</v>
      </c>
      <c r="AD70" s="81" t="s">
        <v>1005</v>
      </c>
      <c r="AE70" s="90" t="e">
        <f aca="false">+</f>
        <v>#N/A</v>
      </c>
      <c r="AF70" s="81" t="s">
        <v>1005</v>
      </c>
      <c r="AG70" s="81" t="n">
        <f aca="false">162+172</f>
        <v>334</v>
      </c>
      <c r="AH70" s="81" t="s">
        <v>1005</v>
      </c>
      <c r="AI70" s="81" t="n">
        <f aca="false">228+129</f>
        <v>357</v>
      </c>
      <c r="AJ70" s="81" t="s">
        <v>1005</v>
      </c>
      <c r="AK70" s="81" t="n">
        <f aca="false">242+139</f>
        <v>381</v>
      </c>
      <c r="AL70" s="81" t="s">
        <v>1005</v>
      </c>
      <c r="AM70" s="81" t="e">
        <f aca="false">O70+Q70+S70+U70+W70+Y70+AA70+AC70+AE70+AG70+AI70+AK70</f>
        <v>#N/A</v>
      </c>
    </row>
    <row collapsed="false" customFormat="false" customHeight="true" hidden="false" ht="16.2" outlineLevel="0" r="71">
      <c r="A71" s="80" t="n">
        <v>31</v>
      </c>
      <c r="B71" s="81" t="s">
        <v>104</v>
      </c>
      <c r="C71" s="82" t="s">
        <v>1033</v>
      </c>
      <c r="D71" s="82" t="s">
        <v>1034</v>
      </c>
      <c r="E71" s="83" t="s">
        <v>1035</v>
      </c>
      <c r="F71" s="84" t="s">
        <v>1036</v>
      </c>
      <c r="G71" s="85"/>
      <c r="H71" s="85"/>
      <c r="I71" s="85"/>
      <c r="J71" s="85"/>
      <c r="K71" s="86" t="s">
        <v>53</v>
      </c>
      <c r="L71" s="86" t="s">
        <v>53</v>
      </c>
      <c r="M71" s="90"/>
      <c r="N71" s="90"/>
      <c r="O71" s="90"/>
      <c r="P71" s="90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90"/>
      <c r="AF71" s="81"/>
      <c r="AG71" s="81"/>
      <c r="AH71" s="81"/>
      <c r="AI71" s="81"/>
      <c r="AJ71" s="81"/>
      <c r="AK71" s="81"/>
      <c r="AL71" s="81"/>
      <c r="AM71" s="81" t="n">
        <f aca="false">O71+Q71+S71+U71+W71+Y71+AA71+AC71+AE71+AG71+AI71+AK71</f>
        <v>0</v>
      </c>
    </row>
    <row collapsed="false" customFormat="false" customHeight="true" hidden="false" ht="16.2" outlineLevel="0" r="72">
      <c r="A72" s="80"/>
      <c r="B72" s="89"/>
      <c r="C72" s="85"/>
      <c r="D72" s="85"/>
      <c r="E72" s="83" t="s">
        <v>1037</v>
      </c>
      <c r="F72" s="84" t="s">
        <v>1036</v>
      </c>
      <c r="G72" s="85"/>
      <c r="H72" s="85"/>
      <c r="I72" s="85"/>
      <c r="J72" s="85"/>
      <c r="K72" s="86"/>
      <c r="L72" s="86"/>
      <c r="M72" s="90" t="n">
        <f aca="false">912+809</f>
        <v>1721</v>
      </c>
      <c r="N72" s="91" t="n">
        <f aca="false">1421+1133</f>
        <v>2554</v>
      </c>
      <c r="O72" s="90" t="n">
        <v>290</v>
      </c>
      <c r="P72" s="90" t="s">
        <v>1005</v>
      </c>
      <c r="Q72" s="81" t="n">
        <v>243</v>
      </c>
      <c r="R72" s="90" t="s">
        <v>1005</v>
      </c>
      <c r="S72" s="81" t="n">
        <v>234</v>
      </c>
      <c r="T72" s="81" t="s">
        <v>1005</v>
      </c>
      <c r="U72" s="81" t="n">
        <v>237</v>
      </c>
      <c r="V72" s="81" t="s">
        <v>1005</v>
      </c>
      <c r="W72" s="81" t="n">
        <v>146</v>
      </c>
      <c r="X72" s="81" t="s">
        <v>1005</v>
      </c>
      <c r="Y72" s="81" t="n">
        <v>150</v>
      </c>
      <c r="Z72" s="81" t="s">
        <v>1005</v>
      </c>
      <c r="AA72" s="81" t="n">
        <v>116</v>
      </c>
      <c r="AB72" s="81" t="s">
        <v>1005</v>
      </c>
      <c r="AC72" s="81" t="n">
        <v>122</v>
      </c>
      <c r="AD72" s="81" t="s">
        <v>1005</v>
      </c>
      <c r="AE72" s="90" t="e">
        <f aca="false">+</f>
        <v>#N/A</v>
      </c>
      <c r="AF72" s="81" t="s">
        <v>1005</v>
      </c>
      <c r="AG72" s="81" t="n">
        <f aca="false">89+68</f>
        <v>157</v>
      </c>
      <c r="AH72" s="81" t="s">
        <v>1005</v>
      </c>
      <c r="AI72" s="81" t="n">
        <f aca="false">190+136</f>
        <v>326</v>
      </c>
      <c r="AJ72" s="81" t="s">
        <v>1005</v>
      </c>
      <c r="AK72" s="81" t="n">
        <f aca="false">242+149</f>
        <v>391</v>
      </c>
      <c r="AL72" s="81" t="s">
        <v>1005</v>
      </c>
      <c r="AM72" s="81" t="e">
        <f aca="false">O72+Q72+S72+U72+W72+Y72+AA72+AC72+AE72+AG72+AI72+AK72</f>
        <v>#N/A</v>
      </c>
    </row>
    <row collapsed="false" customFormat="false" customHeight="true" hidden="false" ht="16.2" outlineLevel="0" r="73">
      <c r="A73" s="80" t="n">
        <v>32</v>
      </c>
      <c r="B73" s="81" t="s">
        <v>105</v>
      </c>
      <c r="C73" s="82" t="s">
        <v>1033</v>
      </c>
      <c r="D73" s="82" t="s">
        <v>1034</v>
      </c>
      <c r="E73" s="83" t="s">
        <v>1035</v>
      </c>
      <c r="F73" s="84" t="s">
        <v>1036</v>
      </c>
      <c r="G73" s="85"/>
      <c r="H73" s="85"/>
      <c r="I73" s="85"/>
      <c r="J73" s="85"/>
      <c r="K73" s="86" t="s">
        <v>53</v>
      </c>
      <c r="L73" s="86" t="s">
        <v>53</v>
      </c>
      <c r="M73" s="90"/>
      <c r="N73" s="90"/>
      <c r="O73" s="90"/>
      <c r="P73" s="90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90"/>
      <c r="AF73" s="81"/>
      <c r="AG73" s="81"/>
      <c r="AH73" s="81"/>
      <c r="AI73" s="81"/>
      <c r="AJ73" s="81"/>
      <c r="AK73" s="81"/>
      <c r="AL73" s="81"/>
      <c r="AM73" s="81" t="n">
        <f aca="false">O73+Q73+S73+U73+W73+Y73+AA73+AC73+AE73+AG73+AI73+AK73</f>
        <v>0</v>
      </c>
    </row>
    <row collapsed="false" customFormat="false" customHeight="true" hidden="false" ht="16.2" outlineLevel="0" r="74">
      <c r="A74" s="80"/>
      <c r="B74" s="89"/>
      <c r="C74" s="85"/>
      <c r="D74" s="85"/>
      <c r="E74" s="83" t="s">
        <v>1037</v>
      </c>
      <c r="F74" s="84" t="s">
        <v>1036</v>
      </c>
      <c r="G74" s="85"/>
      <c r="H74" s="85"/>
      <c r="I74" s="85"/>
      <c r="J74" s="85"/>
      <c r="K74" s="86"/>
      <c r="L74" s="86"/>
      <c r="M74" s="90" t="n">
        <f aca="false">3655+3508</f>
        <v>7163</v>
      </c>
      <c r="N74" s="91" t="n">
        <f aca="false">3435+3352</f>
        <v>6787</v>
      </c>
      <c r="O74" s="90" t="n">
        <v>722</v>
      </c>
      <c r="P74" s="90" t="s">
        <v>1005</v>
      </c>
      <c r="Q74" s="81" t="n">
        <v>699</v>
      </c>
      <c r="R74" s="90" t="s">
        <v>1005</v>
      </c>
      <c r="S74" s="81" t="n">
        <v>530</v>
      </c>
      <c r="T74" s="81" t="s">
        <v>1005</v>
      </c>
      <c r="U74" s="81" t="n">
        <v>456</v>
      </c>
      <c r="V74" s="81" t="s">
        <v>1005</v>
      </c>
      <c r="W74" s="81" t="n">
        <v>430</v>
      </c>
      <c r="X74" s="81" t="s">
        <v>1005</v>
      </c>
      <c r="Y74" s="81" t="n">
        <v>359</v>
      </c>
      <c r="Z74" s="81" t="s">
        <v>1005</v>
      </c>
      <c r="AA74" s="81" t="n">
        <v>270</v>
      </c>
      <c r="AB74" s="81" t="s">
        <v>1005</v>
      </c>
      <c r="AC74" s="81" t="n">
        <v>307</v>
      </c>
      <c r="AD74" s="81" t="s">
        <v>1005</v>
      </c>
      <c r="AE74" s="90" t="e">
        <f aca="false">+</f>
        <v>#N/A</v>
      </c>
      <c r="AF74" s="81" t="s">
        <v>1005</v>
      </c>
      <c r="AG74" s="81" t="n">
        <f aca="false">282+293</f>
        <v>575</v>
      </c>
      <c r="AH74" s="81" t="s">
        <v>1005</v>
      </c>
      <c r="AI74" s="81" t="n">
        <f aca="false">492+381</f>
        <v>873</v>
      </c>
      <c r="AJ74" s="81" t="s">
        <v>1005</v>
      </c>
      <c r="AK74" s="81" t="n">
        <f aca="false">516+344</f>
        <v>860</v>
      </c>
      <c r="AL74" s="81" t="s">
        <v>1005</v>
      </c>
      <c r="AM74" s="81" t="e">
        <f aca="false">O74+Q74+S74+U74+W74+Y74+AA74+AC74+AE74+AG74+AI74+AK74</f>
        <v>#N/A</v>
      </c>
    </row>
    <row collapsed="false" customFormat="false" customHeight="true" hidden="false" ht="16.2" outlineLevel="0" r="75">
      <c r="A75" s="80" t="n">
        <v>33</v>
      </c>
      <c r="B75" s="81" t="s">
        <v>106</v>
      </c>
      <c r="C75" s="82" t="s">
        <v>1033</v>
      </c>
      <c r="D75" s="82" t="s">
        <v>1034</v>
      </c>
      <c r="E75" s="83" t="s">
        <v>1035</v>
      </c>
      <c r="F75" s="84" t="s">
        <v>1036</v>
      </c>
      <c r="G75" s="85"/>
      <c r="H75" s="85"/>
      <c r="I75" s="85"/>
      <c r="J75" s="85"/>
      <c r="K75" s="86" t="s">
        <v>53</v>
      </c>
      <c r="L75" s="86" t="s">
        <v>53</v>
      </c>
      <c r="M75" s="90"/>
      <c r="N75" s="90"/>
      <c r="O75" s="90"/>
      <c r="P75" s="90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90"/>
      <c r="AF75" s="81"/>
      <c r="AG75" s="81"/>
      <c r="AH75" s="81"/>
      <c r="AI75" s="81"/>
      <c r="AJ75" s="81"/>
      <c r="AK75" s="81"/>
      <c r="AL75" s="81"/>
      <c r="AM75" s="81" t="n">
        <f aca="false">O75+Q75+S75+U75+W75+Y75+AA75+AC75+AE75+AG75+AI75+AK75</f>
        <v>0</v>
      </c>
    </row>
    <row collapsed="false" customFormat="false" customHeight="true" hidden="false" ht="16.2" outlineLevel="0" r="76">
      <c r="A76" s="80"/>
      <c r="B76" s="89"/>
      <c r="C76" s="85"/>
      <c r="D76" s="85"/>
      <c r="E76" s="83" t="s">
        <v>1037</v>
      </c>
      <c r="F76" s="84" t="s">
        <v>1036</v>
      </c>
      <c r="G76" s="85"/>
      <c r="H76" s="85"/>
      <c r="I76" s="85"/>
      <c r="J76" s="85"/>
      <c r="K76" s="86"/>
      <c r="L76" s="86"/>
      <c r="M76" s="90" t="n">
        <f aca="false">3721+4452</f>
        <v>8173</v>
      </c>
      <c r="N76" s="91" t="n">
        <f aca="false">4360+5144</f>
        <v>9504</v>
      </c>
      <c r="O76" s="90" t="n">
        <v>1225</v>
      </c>
      <c r="P76" s="90" t="s">
        <v>1005</v>
      </c>
      <c r="Q76" s="81" t="n">
        <v>1052</v>
      </c>
      <c r="R76" s="90" t="s">
        <v>1005</v>
      </c>
      <c r="S76" s="81" t="n">
        <v>931</v>
      </c>
      <c r="T76" s="81" t="s">
        <v>1005</v>
      </c>
      <c r="U76" s="81" t="n">
        <v>1012</v>
      </c>
      <c r="V76" s="81" t="s">
        <v>1005</v>
      </c>
      <c r="W76" s="81" t="n">
        <v>563</v>
      </c>
      <c r="X76" s="81" t="s">
        <v>1005</v>
      </c>
      <c r="Y76" s="81" t="n">
        <v>504</v>
      </c>
      <c r="Z76" s="81" t="s">
        <v>1005</v>
      </c>
      <c r="AA76" s="81" t="n">
        <v>385</v>
      </c>
      <c r="AB76" s="81" t="s">
        <v>1005</v>
      </c>
      <c r="AC76" s="81" t="n">
        <v>741</v>
      </c>
      <c r="AD76" s="81" t="s">
        <v>1005</v>
      </c>
      <c r="AE76" s="90" t="e">
        <f aca="false">+</f>
        <v>#N/A</v>
      </c>
      <c r="AF76" s="81" t="s">
        <v>1005</v>
      </c>
      <c r="AG76" s="81" t="n">
        <f aca="false">436+507</f>
        <v>943</v>
      </c>
      <c r="AH76" s="81" t="s">
        <v>1005</v>
      </c>
      <c r="AI76" s="81" t="n">
        <f aca="false">780+686</f>
        <v>1466</v>
      </c>
      <c r="AJ76" s="81" t="s">
        <v>1005</v>
      </c>
      <c r="AK76" s="81" t="n">
        <f aca="false">748+595</f>
        <v>1343</v>
      </c>
      <c r="AL76" s="81" t="s">
        <v>1005</v>
      </c>
      <c r="AM76" s="81" t="e">
        <f aca="false">O76+Q76+S76+U76+W76+Y76+AA76+AC76+AE76+AG76+AI76+AK76</f>
        <v>#N/A</v>
      </c>
    </row>
    <row collapsed="false" customFormat="false" customHeight="true" hidden="false" ht="16.2" outlineLevel="0" r="77">
      <c r="A77" s="80" t="n">
        <v>34</v>
      </c>
      <c r="B77" s="81" t="s">
        <v>107</v>
      </c>
      <c r="C77" s="82" t="s">
        <v>1033</v>
      </c>
      <c r="D77" s="82" t="s">
        <v>1034</v>
      </c>
      <c r="E77" s="83" t="s">
        <v>1035</v>
      </c>
      <c r="F77" s="84" t="s">
        <v>1036</v>
      </c>
      <c r="G77" s="85"/>
      <c r="H77" s="85"/>
      <c r="I77" s="85"/>
      <c r="J77" s="85"/>
      <c r="K77" s="86" t="s">
        <v>53</v>
      </c>
      <c r="L77" s="86" t="s">
        <v>53</v>
      </c>
      <c r="M77" s="90"/>
      <c r="N77" s="90"/>
      <c r="O77" s="90"/>
      <c r="P77" s="90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90"/>
      <c r="AF77" s="81"/>
      <c r="AG77" s="81"/>
      <c r="AH77" s="81"/>
      <c r="AI77" s="81"/>
      <c r="AJ77" s="81"/>
      <c r="AK77" s="81"/>
      <c r="AL77" s="81"/>
      <c r="AM77" s="81" t="n">
        <f aca="false">O77+Q77+S77+U77+W77+Y77+AA77+AC77+AE77+AG77+AI77+AK77</f>
        <v>0</v>
      </c>
    </row>
    <row collapsed="false" customFormat="false" customHeight="true" hidden="false" ht="16.2" outlineLevel="0" r="78">
      <c r="A78" s="80"/>
      <c r="B78" s="89"/>
      <c r="C78" s="85"/>
      <c r="D78" s="85"/>
      <c r="E78" s="83" t="s">
        <v>1037</v>
      </c>
      <c r="F78" s="84" t="s">
        <v>1036</v>
      </c>
      <c r="G78" s="85"/>
      <c r="H78" s="85"/>
      <c r="I78" s="85"/>
      <c r="J78" s="85"/>
      <c r="K78" s="86"/>
      <c r="L78" s="86"/>
      <c r="M78" s="90" t="n">
        <f aca="false">2719+2108+73+111</f>
        <v>5011</v>
      </c>
      <c r="N78" s="91" t="n">
        <f aca="false">3563+3201</f>
        <v>6764</v>
      </c>
      <c r="O78" s="90" t="n">
        <v>525</v>
      </c>
      <c r="P78" s="90" t="s">
        <v>1005</v>
      </c>
      <c r="Q78" s="81" t="n">
        <v>429</v>
      </c>
      <c r="R78" s="90" t="s">
        <v>1005</v>
      </c>
      <c r="S78" s="81" t="n">
        <v>349</v>
      </c>
      <c r="T78" s="81" t="s">
        <v>1005</v>
      </c>
      <c r="U78" s="81" t="n">
        <v>387</v>
      </c>
      <c r="V78" s="81" t="s">
        <v>1005</v>
      </c>
      <c r="W78" s="81" t="n">
        <v>233</v>
      </c>
      <c r="X78" s="81" t="s">
        <v>1005</v>
      </c>
      <c r="Y78" s="81" t="n">
        <v>172</v>
      </c>
      <c r="Z78" s="81" t="s">
        <v>1005</v>
      </c>
      <c r="AA78" s="81" t="n">
        <v>258</v>
      </c>
      <c r="AB78" s="81" t="s">
        <v>1005</v>
      </c>
      <c r="AC78" s="81" t="n">
        <v>307</v>
      </c>
      <c r="AD78" s="81" t="s">
        <v>1005</v>
      </c>
      <c r="AE78" s="90" t="e">
        <f aca="false">+</f>
        <v>#N/A</v>
      </c>
      <c r="AF78" s="81" t="s">
        <v>1005</v>
      </c>
      <c r="AG78" s="81" t="n">
        <f aca="false">171+189</f>
        <v>360</v>
      </c>
      <c r="AH78" s="81" t="s">
        <v>1005</v>
      </c>
      <c r="AI78" s="81" t="n">
        <f aca="false">276+223</f>
        <v>499</v>
      </c>
      <c r="AJ78" s="81" t="s">
        <v>1005</v>
      </c>
      <c r="AK78" s="81" t="n">
        <f aca="false">348+254</f>
        <v>602</v>
      </c>
      <c r="AL78" s="81" t="s">
        <v>1005</v>
      </c>
      <c r="AM78" s="81" t="e">
        <f aca="false">O78+Q78+S78+U78+W78+Y78+AA78+AC78+AE78+AG78+AI78+AK78</f>
        <v>#N/A</v>
      </c>
    </row>
    <row collapsed="false" customFormat="false" customHeight="true" hidden="false" ht="16.2" outlineLevel="0" r="79">
      <c r="A79" s="80" t="n">
        <v>35</v>
      </c>
      <c r="B79" s="81" t="s">
        <v>109</v>
      </c>
      <c r="C79" s="82" t="s">
        <v>1033</v>
      </c>
      <c r="D79" s="82" t="s">
        <v>1034</v>
      </c>
      <c r="E79" s="83" t="s">
        <v>1035</v>
      </c>
      <c r="F79" s="84" t="s">
        <v>1036</v>
      </c>
      <c r="G79" s="85"/>
      <c r="H79" s="85"/>
      <c r="I79" s="85"/>
      <c r="J79" s="85"/>
      <c r="K79" s="86" t="s">
        <v>53</v>
      </c>
      <c r="L79" s="86" t="s">
        <v>53</v>
      </c>
      <c r="M79" s="90"/>
      <c r="N79" s="90"/>
      <c r="O79" s="90"/>
      <c r="P79" s="90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90"/>
      <c r="AF79" s="81"/>
      <c r="AG79" s="81"/>
      <c r="AH79" s="81"/>
      <c r="AI79" s="81"/>
      <c r="AJ79" s="81"/>
      <c r="AK79" s="81"/>
      <c r="AL79" s="81"/>
      <c r="AM79" s="81" t="n">
        <f aca="false">O79+Q79+S79+U79+W79+Y79+AA79+AC79+AE79+AG79+AI79+AK79</f>
        <v>0</v>
      </c>
    </row>
    <row collapsed="false" customFormat="false" customHeight="true" hidden="false" ht="16.2" outlineLevel="0" r="80">
      <c r="A80" s="80"/>
      <c r="B80" s="89"/>
      <c r="C80" s="85"/>
      <c r="D80" s="85"/>
      <c r="E80" s="83" t="s">
        <v>1037</v>
      </c>
      <c r="F80" s="84" t="s">
        <v>1036</v>
      </c>
      <c r="G80" s="85"/>
      <c r="H80" s="85"/>
      <c r="I80" s="85"/>
      <c r="J80" s="85"/>
      <c r="K80" s="86"/>
      <c r="L80" s="86"/>
      <c r="M80" s="90" t="n">
        <f aca="false">4307+3775</f>
        <v>8082</v>
      </c>
      <c r="N80" s="91" t="n">
        <f aca="false">3125+3252</f>
        <v>6377</v>
      </c>
      <c r="O80" s="90" t="n">
        <v>677</v>
      </c>
      <c r="P80" s="90" t="s">
        <v>1005</v>
      </c>
      <c r="Q80" s="81" t="n">
        <v>628</v>
      </c>
      <c r="R80" s="90" t="s">
        <v>1005</v>
      </c>
      <c r="S80" s="81" t="n">
        <v>524</v>
      </c>
      <c r="T80" s="81" t="s">
        <v>1005</v>
      </c>
      <c r="U80" s="81" t="n">
        <v>461</v>
      </c>
      <c r="V80" s="81" t="s">
        <v>1005</v>
      </c>
      <c r="W80" s="81" t="n">
        <v>178</v>
      </c>
      <c r="X80" s="81" t="s">
        <v>1005</v>
      </c>
      <c r="Y80" s="81" t="n">
        <v>209</v>
      </c>
      <c r="Z80" s="81" t="s">
        <v>1005</v>
      </c>
      <c r="AA80" s="81" t="n">
        <v>123</v>
      </c>
      <c r="AB80" s="81" t="s">
        <v>1005</v>
      </c>
      <c r="AC80" s="81" t="n">
        <v>238</v>
      </c>
      <c r="AD80" s="81" t="s">
        <v>1005</v>
      </c>
      <c r="AE80" s="90" t="e">
        <f aca="false">+</f>
        <v>#N/A</v>
      </c>
      <c r="AF80" s="81" t="s">
        <v>1005</v>
      </c>
      <c r="AG80" s="81" t="n">
        <f aca="false">224+274</f>
        <v>498</v>
      </c>
      <c r="AH80" s="81" t="s">
        <v>1005</v>
      </c>
      <c r="AI80" s="81" t="n">
        <f aca="false">377+325</f>
        <v>702</v>
      </c>
      <c r="AJ80" s="81" t="s">
        <v>1005</v>
      </c>
      <c r="AK80" s="81" t="n">
        <f aca="false">418+318</f>
        <v>736</v>
      </c>
      <c r="AL80" s="81" t="s">
        <v>1005</v>
      </c>
      <c r="AM80" s="81" t="e">
        <f aca="false">O80+Q80+S80+U80+W80+Y80+AA80+AC80+AE80+AG80+AI80+AK80</f>
        <v>#N/A</v>
      </c>
    </row>
    <row collapsed="false" customFormat="false" customHeight="true" hidden="false" ht="16.2" outlineLevel="0" r="81">
      <c r="A81" s="80" t="n">
        <v>36</v>
      </c>
      <c r="B81" s="81" t="s">
        <v>110</v>
      </c>
      <c r="C81" s="82" t="s">
        <v>1033</v>
      </c>
      <c r="D81" s="82" t="s">
        <v>1034</v>
      </c>
      <c r="E81" s="83" t="s">
        <v>1035</v>
      </c>
      <c r="F81" s="84" t="s">
        <v>1036</v>
      </c>
      <c r="G81" s="85"/>
      <c r="H81" s="85"/>
      <c r="I81" s="85"/>
      <c r="J81" s="85"/>
      <c r="K81" s="86" t="s">
        <v>53</v>
      </c>
      <c r="L81" s="86" t="s">
        <v>53</v>
      </c>
      <c r="M81" s="90"/>
      <c r="N81" s="90"/>
      <c r="O81" s="90"/>
      <c r="P81" s="90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90"/>
      <c r="AF81" s="81"/>
      <c r="AG81" s="81"/>
      <c r="AH81" s="81"/>
      <c r="AI81" s="81"/>
      <c r="AJ81" s="81"/>
      <c r="AK81" s="81"/>
      <c r="AL81" s="81"/>
      <c r="AM81" s="81" t="n">
        <f aca="false">O81+Q81+S81+U81+W81+Y81+AA81+AC81+AE81+AG81+AI81+AK81</f>
        <v>0</v>
      </c>
    </row>
    <row collapsed="false" customFormat="false" customHeight="true" hidden="false" ht="16.2" outlineLevel="0" r="82">
      <c r="A82" s="80"/>
      <c r="B82" s="89"/>
      <c r="C82" s="85"/>
      <c r="D82" s="85"/>
      <c r="E82" s="83" t="s">
        <v>1037</v>
      </c>
      <c r="F82" s="84" t="s">
        <v>1036</v>
      </c>
      <c r="G82" s="85"/>
      <c r="H82" s="85"/>
      <c r="I82" s="85"/>
      <c r="J82" s="85"/>
      <c r="K82" s="86"/>
      <c r="L82" s="86"/>
      <c r="M82" s="90" t="n">
        <f aca="false">2913+2389</f>
        <v>5302</v>
      </c>
      <c r="N82" s="91" t="n">
        <f aca="false">3235+2337</f>
        <v>5572</v>
      </c>
      <c r="O82" s="90" t="n">
        <v>548</v>
      </c>
      <c r="P82" s="90" t="s">
        <v>1005</v>
      </c>
      <c r="Q82" s="81" t="n">
        <v>555</v>
      </c>
      <c r="R82" s="90" t="s">
        <v>1005</v>
      </c>
      <c r="S82" s="81" t="n">
        <v>438</v>
      </c>
      <c r="T82" s="81" t="s">
        <v>1005</v>
      </c>
      <c r="U82" s="81" t="n">
        <v>357</v>
      </c>
      <c r="V82" s="81" t="s">
        <v>1005</v>
      </c>
      <c r="W82" s="81" t="n">
        <v>295</v>
      </c>
      <c r="X82" s="81" t="s">
        <v>1005</v>
      </c>
      <c r="Y82" s="81" t="n">
        <v>224</v>
      </c>
      <c r="Z82" s="81" t="s">
        <v>1005</v>
      </c>
      <c r="AA82" s="81" t="n">
        <v>194</v>
      </c>
      <c r="AB82" s="81" t="s">
        <v>1005</v>
      </c>
      <c r="AC82" s="81" t="n">
        <v>232</v>
      </c>
      <c r="AD82" s="81" t="s">
        <v>1005</v>
      </c>
      <c r="AE82" s="90" t="e">
        <f aca="false">+</f>
        <v>#N/A</v>
      </c>
      <c r="AF82" s="81" t="s">
        <v>1005</v>
      </c>
      <c r="AG82" s="81" t="n">
        <f aca="false">200+188</f>
        <v>388</v>
      </c>
      <c r="AH82" s="81" t="s">
        <v>1005</v>
      </c>
      <c r="AI82" s="81" t="n">
        <f aca="false">298+223</f>
        <v>521</v>
      </c>
      <c r="AJ82" s="81" t="s">
        <v>1005</v>
      </c>
      <c r="AK82" s="81" t="n">
        <f aca="false">389+237</f>
        <v>626</v>
      </c>
      <c r="AL82" s="81" t="s">
        <v>1005</v>
      </c>
      <c r="AM82" s="81" t="e">
        <f aca="false">O82+Q82+S82+U82+W82+Y82+AA82+AC82+AE82+AG82+AI82+AK82</f>
        <v>#N/A</v>
      </c>
    </row>
    <row collapsed="false" customFormat="false" customHeight="true" hidden="false" ht="16.2" outlineLevel="0" r="83">
      <c r="A83" s="80" t="n">
        <v>37</v>
      </c>
      <c r="B83" s="81" t="s">
        <v>111</v>
      </c>
      <c r="C83" s="82" t="s">
        <v>1033</v>
      </c>
      <c r="D83" s="82" t="s">
        <v>1034</v>
      </c>
      <c r="E83" s="83" t="s">
        <v>1035</v>
      </c>
      <c r="F83" s="84" t="s">
        <v>1036</v>
      </c>
      <c r="G83" s="85"/>
      <c r="H83" s="85"/>
      <c r="I83" s="85"/>
      <c r="J83" s="85"/>
      <c r="K83" s="86" t="s">
        <v>53</v>
      </c>
      <c r="L83" s="86" t="s">
        <v>53</v>
      </c>
      <c r="M83" s="90"/>
      <c r="N83" s="90"/>
      <c r="O83" s="90"/>
      <c r="P83" s="90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90"/>
      <c r="AF83" s="81"/>
      <c r="AG83" s="81"/>
      <c r="AH83" s="81"/>
      <c r="AI83" s="81"/>
      <c r="AJ83" s="81"/>
      <c r="AK83" s="81"/>
      <c r="AL83" s="81"/>
      <c r="AM83" s="81" t="n">
        <f aca="false">O83+Q83+S83+U83+W83+Y83+AA83+AC83+AE83+AG83+AI83+AK83</f>
        <v>0</v>
      </c>
    </row>
    <row collapsed="false" customFormat="false" customHeight="true" hidden="false" ht="16.2" outlineLevel="0" r="84">
      <c r="A84" s="80"/>
      <c r="B84" s="89"/>
      <c r="C84" s="85"/>
      <c r="D84" s="85"/>
      <c r="E84" s="83" t="s">
        <v>1037</v>
      </c>
      <c r="F84" s="84" t="s">
        <v>1036</v>
      </c>
      <c r="G84" s="85"/>
      <c r="H84" s="85"/>
      <c r="I84" s="85"/>
      <c r="J84" s="85"/>
      <c r="K84" s="86"/>
      <c r="L84" s="86"/>
      <c r="M84" s="90" t="n">
        <f aca="false">3097+2616</f>
        <v>5713</v>
      </c>
      <c r="N84" s="91" t="n">
        <f aca="false">2358+1873</f>
        <v>4231</v>
      </c>
      <c r="O84" s="90" t="n">
        <v>461</v>
      </c>
      <c r="P84" s="90" t="s">
        <v>1005</v>
      </c>
      <c r="Q84" s="81" t="n">
        <v>404</v>
      </c>
      <c r="R84" s="90" t="s">
        <v>1005</v>
      </c>
      <c r="S84" s="81" t="n">
        <v>423</v>
      </c>
      <c r="T84" s="81" t="s">
        <v>1005</v>
      </c>
      <c r="U84" s="81" t="n">
        <v>526</v>
      </c>
      <c r="V84" s="81" t="s">
        <v>1005</v>
      </c>
      <c r="W84" s="81" t="n">
        <v>254</v>
      </c>
      <c r="X84" s="81" t="s">
        <v>1005</v>
      </c>
      <c r="Y84" s="81" t="n">
        <v>215</v>
      </c>
      <c r="Z84" s="81" t="s">
        <v>1005</v>
      </c>
      <c r="AA84" s="81" t="n">
        <v>173</v>
      </c>
      <c r="AB84" s="81" t="s">
        <v>1005</v>
      </c>
      <c r="AC84" s="81" t="n">
        <v>236</v>
      </c>
      <c r="AD84" s="81" t="s">
        <v>1005</v>
      </c>
      <c r="AE84" s="90" t="e">
        <f aca="false">+</f>
        <v>#N/A</v>
      </c>
      <c r="AF84" s="81" t="s">
        <v>1005</v>
      </c>
      <c r="AG84" s="81" t="n">
        <f aca="false">208+180</f>
        <v>388</v>
      </c>
      <c r="AH84" s="81" t="s">
        <v>1005</v>
      </c>
      <c r="AI84" s="81" t="n">
        <f aca="false">303+236</f>
        <v>539</v>
      </c>
      <c r="AJ84" s="81" t="s">
        <v>1005</v>
      </c>
      <c r="AK84" s="81" t="n">
        <f aca="false">314+216</f>
        <v>530</v>
      </c>
      <c r="AL84" s="81" t="s">
        <v>1005</v>
      </c>
      <c r="AM84" s="81" t="e">
        <f aca="false">O84+Q84+S84+U84+W84+Y84+AA84+AC84+AE84+AG84+AI84+AK84</f>
        <v>#N/A</v>
      </c>
    </row>
    <row collapsed="false" customFormat="false" customHeight="true" hidden="false" ht="16.2" outlineLevel="0" r="85">
      <c r="A85" s="80" t="n">
        <v>38</v>
      </c>
      <c r="B85" s="81" t="s">
        <v>112</v>
      </c>
      <c r="C85" s="82" t="s">
        <v>1033</v>
      </c>
      <c r="D85" s="82" t="s">
        <v>1034</v>
      </c>
      <c r="E85" s="83" t="s">
        <v>1035</v>
      </c>
      <c r="F85" s="84" t="s">
        <v>1036</v>
      </c>
      <c r="G85" s="85"/>
      <c r="H85" s="85"/>
      <c r="I85" s="85"/>
      <c r="J85" s="85"/>
      <c r="K85" s="86" t="s">
        <v>53</v>
      </c>
      <c r="L85" s="86" t="s">
        <v>53</v>
      </c>
      <c r="M85" s="90"/>
      <c r="N85" s="90"/>
      <c r="O85" s="90"/>
      <c r="P85" s="90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90"/>
      <c r="AF85" s="81"/>
      <c r="AG85" s="81"/>
      <c r="AH85" s="81"/>
      <c r="AI85" s="81"/>
      <c r="AJ85" s="81"/>
      <c r="AK85" s="81"/>
      <c r="AL85" s="81"/>
      <c r="AM85" s="81" t="n">
        <f aca="false">O85+Q85+S85+U85+W85+Y85+AA85+AC85+AE85+AG85+AI85+AK85</f>
        <v>0</v>
      </c>
    </row>
    <row collapsed="false" customFormat="false" customHeight="true" hidden="false" ht="16.2" outlineLevel="0" r="86">
      <c r="A86" s="80"/>
      <c r="B86" s="89"/>
      <c r="C86" s="85"/>
      <c r="D86" s="85"/>
      <c r="E86" s="83" t="s">
        <v>1037</v>
      </c>
      <c r="F86" s="84" t="s">
        <v>1036</v>
      </c>
      <c r="G86" s="85"/>
      <c r="H86" s="85"/>
      <c r="I86" s="85"/>
      <c r="J86" s="85"/>
      <c r="K86" s="86"/>
      <c r="L86" s="86"/>
      <c r="M86" s="90" t="n">
        <f aca="false">2582+3399+75+73</f>
        <v>6129</v>
      </c>
      <c r="N86" s="91" t="n">
        <f aca="false">3853+3176</f>
        <v>7029</v>
      </c>
      <c r="O86" s="90" t="n">
        <v>636</v>
      </c>
      <c r="P86" s="90" t="s">
        <v>1005</v>
      </c>
      <c r="Q86" s="81" t="n">
        <v>517</v>
      </c>
      <c r="R86" s="90" t="s">
        <v>1005</v>
      </c>
      <c r="S86" s="81" t="n">
        <v>396</v>
      </c>
      <c r="T86" s="81" t="s">
        <v>1005</v>
      </c>
      <c r="U86" s="81" t="n">
        <v>381</v>
      </c>
      <c r="V86" s="81" t="s">
        <v>1005</v>
      </c>
      <c r="W86" s="81" t="n">
        <v>244</v>
      </c>
      <c r="X86" s="81" t="s">
        <v>1005</v>
      </c>
      <c r="Y86" s="81" t="n">
        <v>230</v>
      </c>
      <c r="Z86" s="81" t="s">
        <v>1005</v>
      </c>
      <c r="AA86" s="81" t="n">
        <v>152</v>
      </c>
      <c r="AB86" s="81" t="s">
        <v>1005</v>
      </c>
      <c r="AC86" s="81" t="n">
        <v>186</v>
      </c>
      <c r="AD86" s="81" t="s">
        <v>1005</v>
      </c>
      <c r="AE86" s="90" t="e">
        <f aca="false">+</f>
        <v>#N/A</v>
      </c>
      <c r="AF86" s="81" t="s">
        <v>1005</v>
      </c>
      <c r="AG86" s="81" t="n">
        <f aca="false">210+214</f>
        <v>424</v>
      </c>
      <c r="AH86" s="81" t="s">
        <v>1005</v>
      </c>
      <c r="AI86" s="81" t="n">
        <f aca="false">330+268</f>
        <v>598</v>
      </c>
      <c r="AJ86" s="81" t="s">
        <v>1005</v>
      </c>
      <c r="AK86" s="81" t="n">
        <f aca="false">326+222</f>
        <v>548</v>
      </c>
      <c r="AL86" s="81" t="s">
        <v>1005</v>
      </c>
      <c r="AM86" s="81" t="e">
        <f aca="false">O86+Q86+S86+U86+W86+Y86+AA86+AC86+AE86+AG86+AI86+AK86</f>
        <v>#N/A</v>
      </c>
    </row>
    <row collapsed="false" customFormat="false" customHeight="true" hidden="false" ht="16.2" outlineLevel="0" r="87">
      <c r="A87" s="80" t="n">
        <v>39</v>
      </c>
      <c r="B87" s="81" t="s">
        <v>114</v>
      </c>
      <c r="C87" s="82" t="s">
        <v>1033</v>
      </c>
      <c r="D87" s="82" t="s">
        <v>1034</v>
      </c>
      <c r="E87" s="83" t="s">
        <v>1035</v>
      </c>
      <c r="F87" s="84" t="s">
        <v>1036</v>
      </c>
      <c r="G87" s="85"/>
      <c r="H87" s="85"/>
      <c r="I87" s="85"/>
      <c r="J87" s="85"/>
      <c r="K87" s="86" t="s">
        <v>53</v>
      </c>
      <c r="L87" s="86" t="s">
        <v>53</v>
      </c>
      <c r="M87" s="90"/>
      <c r="N87" s="90"/>
      <c r="O87" s="90"/>
      <c r="P87" s="90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90"/>
      <c r="AF87" s="81"/>
      <c r="AG87" s="81"/>
      <c r="AH87" s="81"/>
      <c r="AI87" s="81"/>
      <c r="AJ87" s="81"/>
      <c r="AK87" s="81"/>
      <c r="AL87" s="81"/>
      <c r="AM87" s="81" t="n">
        <f aca="false">O87+Q87+S87+U87+W87+Y87+AA87+AC87+AE87+AG87+AI87+AK87</f>
        <v>0</v>
      </c>
    </row>
    <row collapsed="false" customFormat="false" customHeight="true" hidden="false" ht="16.2" outlineLevel="0" r="88">
      <c r="A88" s="80"/>
      <c r="B88" s="89"/>
      <c r="C88" s="85"/>
      <c r="D88" s="85"/>
      <c r="E88" s="83" t="s">
        <v>1037</v>
      </c>
      <c r="F88" s="84" t="s">
        <v>1036</v>
      </c>
      <c r="G88" s="85"/>
      <c r="H88" s="85"/>
      <c r="I88" s="85"/>
      <c r="J88" s="85"/>
      <c r="K88" s="86"/>
      <c r="L88" s="86"/>
      <c r="M88" s="90" t="n">
        <f aca="false">1875+2044</f>
        <v>3919</v>
      </c>
      <c r="N88" s="91" t="n">
        <f aca="false">1800+1630</f>
        <v>3430</v>
      </c>
      <c r="O88" s="90" t="n">
        <v>355</v>
      </c>
      <c r="P88" s="90" t="s">
        <v>1005</v>
      </c>
      <c r="Q88" s="81" t="n">
        <v>355</v>
      </c>
      <c r="R88" s="90" t="s">
        <v>1005</v>
      </c>
      <c r="S88" s="81" t="n">
        <v>282</v>
      </c>
      <c r="T88" s="81" t="s">
        <v>1005</v>
      </c>
      <c r="U88" s="81" t="n">
        <v>341</v>
      </c>
      <c r="V88" s="81" t="s">
        <v>1005</v>
      </c>
      <c r="W88" s="81" t="n">
        <v>125</v>
      </c>
      <c r="X88" s="81" t="s">
        <v>1005</v>
      </c>
      <c r="Y88" s="81" t="n">
        <v>94</v>
      </c>
      <c r="Z88" s="81" t="s">
        <v>1005</v>
      </c>
      <c r="AA88" s="81" t="n">
        <v>99</v>
      </c>
      <c r="AB88" s="81" t="s">
        <v>1005</v>
      </c>
      <c r="AC88" s="81" t="n">
        <v>169</v>
      </c>
      <c r="AD88" s="81" t="s">
        <v>1005</v>
      </c>
      <c r="AE88" s="90" t="e">
        <f aca="false">+</f>
        <v>#N/A</v>
      </c>
      <c r="AF88" s="81" t="s">
        <v>1005</v>
      </c>
      <c r="AG88" s="81" t="n">
        <f aca="false">100+100</f>
        <v>200</v>
      </c>
      <c r="AH88" s="81" t="s">
        <v>1005</v>
      </c>
      <c r="AI88" s="81" t="n">
        <f aca="false">233+190</f>
        <v>423</v>
      </c>
      <c r="AJ88" s="81" t="s">
        <v>1005</v>
      </c>
      <c r="AK88" s="81" t="n">
        <f aca="false">226+156</f>
        <v>382</v>
      </c>
      <c r="AL88" s="81" t="s">
        <v>1005</v>
      </c>
      <c r="AM88" s="81" t="e">
        <f aca="false">O88+Q88+S88+U88+W88+Y88+AA88+AC88+AE88+AG88+AI88+AK88</f>
        <v>#N/A</v>
      </c>
    </row>
    <row collapsed="false" customFormat="false" customHeight="true" hidden="false" ht="16.2" outlineLevel="0" r="89">
      <c r="A89" s="80" t="n">
        <v>40</v>
      </c>
      <c r="B89" s="81" t="s">
        <v>115</v>
      </c>
      <c r="C89" s="82" t="s">
        <v>1033</v>
      </c>
      <c r="D89" s="82" t="s">
        <v>1034</v>
      </c>
      <c r="E89" s="83" t="s">
        <v>1035</v>
      </c>
      <c r="F89" s="84" t="s">
        <v>1036</v>
      </c>
      <c r="G89" s="85"/>
      <c r="H89" s="85"/>
      <c r="I89" s="85"/>
      <c r="J89" s="85"/>
      <c r="K89" s="86" t="s">
        <v>53</v>
      </c>
      <c r="L89" s="86" t="s">
        <v>53</v>
      </c>
      <c r="M89" s="90"/>
      <c r="N89" s="90"/>
      <c r="O89" s="90"/>
      <c r="P89" s="90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90"/>
      <c r="AF89" s="81"/>
      <c r="AG89" s="81"/>
      <c r="AH89" s="81"/>
      <c r="AI89" s="81"/>
      <c r="AJ89" s="81"/>
      <c r="AK89" s="81"/>
      <c r="AL89" s="81"/>
      <c r="AM89" s="81" t="n">
        <f aca="false">O89+Q89+S89+U89+W89+Y89+AA89+AC89+AE89+AG89+AI89+AK89</f>
        <v>0</v>
      </c>
    </row>
    <row collapsed="false" customFormat="false" customHeight="true" hidden="false" ht="16.2" outlineLevel="0" r="90">
      <c r="A90" s="80"/>
      <c r="B90" s="89"/>
      <c r="C90" s="85"/>
      <c r="D90" s="85"/>
      <c r="E90" s="83" t="s">
        <v>1037</v>
      </c>
      <c r="F90" s="84" t="s">
        <v>1036</v>
      </c>
      <c r="G90" s="85"/>
      <c r="H90" s="85"/>
      <c r="I90" s="85"/>
      <c r="J90" s="85"/>
      <c r="K90" s="86"/>
      <c r="L90" s="86"/>
      <c r="M90" s="90" t="n">
        <f aca="false">1010+946</f>
        <v>1956</v>
      </c>
      <c r="N90" s="91" t="n">
        <f aca="false">2055+2216</f>
        <v>4271</v>
      </c>
      <c r="O90" s="90" t="n">
        <v>578</v>
      </c>
      <c r="P90" s="90" t="s">
        <v>1005</v>
      </c>
      <c r="Q90" s="81" t="n">
        <v>575</v>
      </c>
      <c r="R90" s="90" t="s">
        <v>1005</v>
      </c>
      <c r="S90" s="81" t="n">
        <v>600</v>
      </c>
      <c r="T90" s="81" t="s">
        <v>1005</v>
      </c>
      <c r="U90" s="81" t="n">
        <v>437</v>
      </c>
      <c r="V90" s="81" t="s">
        <v>1005</v>
      </c>
      <c r="W90" s="81" t="n">
        <v>317</v>
      </c>
      <c r="X90" s="81" t="s">
        <v>1005</v>
      </c>
      <c r="Y90" s="81" t="n">
        <v>307</v>
      </c>
      <c r="Z90" s="81" t="s">
        <v>1005</v>
      </c>
      <c r="AA90" s="81" t="n">
        <v>172</v>
      </c>
      <c r="AB90" s="81" t="s">
        <v>1005</v>
      </c>
      <c r="AC90" s="81" t="n">
        <v>214</v>
      </c>
      <c r="AD90" s="81" t="s">
        <v>1005</v>
      </c>
      <c r="AE90" s="90" t="e">
        <f aca="false">+</f>
        <v>#N/A</v>
      </c>
      <c r="AF90" s="81" t="s">
        <v>1005</v>
      </c>
      <c r="AG90" s="81" t="n">
        <f aca="false">218+255</f>
        <v>473</v>
      </c>
      <c r="AH90" s="81" t="s">
        <v>1005</v>
      </c>
      <c r="AI90" s="81" t="n">
        <f aca="false">384+342</f>
        <v>726</v>
      </c>
      <c r="AJ90" s="81" t="s">
        <v>1005</v>
      </c>
      <c r="AK90" s="81" t="n">
        <f aca="false">416+313</f>
        <v>729</v>
      </c>
      <c r="AL90" s="81" t="s">
        <v>1005</v>
      </c>
      <c r="AM90" s="81" t="e">
        <f aca="false">O90+Q90+S90+U90+W90+Y90+AA90+AC90+AE90+AG90+AI90+AK90</f>
        <v>#N/A</v>
      </c>
    </row>
    <row collapsed="false" customFormat="false" customHeight="true" hidden="false" ht="16.2" outlineLevel="0" r="91">
      <c r="A91" s="80" t="n">
        <v>41</v>
      </c>
      <c r="B91" s="81" t="s">
        <v>116</v>
      </c>
      <c r="C91" s="82" t="s">
        <v>1033</v>
      </c>
      <c r="D91" s="82" t="s">
        <v>1034</v>
      </c>
      <c r="E91" s="83" t="s">
        <v>1035</v>
      </c>
      <c r="F91" s="84" t="s">
        <v>1036</v>
      </c>
      <c r="G91" s="85"/>
      <c r="H91" s="85"/>
      <c r="I91" s="85"/>
      <c r="J91" s="85"/>
      <c r="K91" s="86" t="s">
        <v>53</v>
      </c>
      <c r="L91" s="86" t="s">
        <v>53</v>
      </c>
      <c r="M91" s="90"/>
      <c r="N91" s="90"/>
      <c r="O91" s="90"/>
      <c r="P91" s="90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90"/>
      <c r="AF91" s="81"/>
      <c r="AG91" s="81"/>
      <c r="AH91" s="81"/>
      <c r="AI91" s="81"/>
      <c r="AJ91" s="81"/>
      <c r="AK91" s="81"/>
      <c r="AL91" s="81"/>
      <c r="AM91" s="81" t="n">
        <f aca="false">O91+Q91+S91+U91+W91+Y91+AA91+AC91+AE91+AG91+AI91+AK91</f>
        <v>0</v>
      </c>
    </row>
    <row collapsed="false" customFormat="false" customHeight="true" hidden="false" ht="16.2" outlineLevel="0" r="92">
      <c r="A92" s="80"/>
      <c r="B92" s="89"/>
      <c r="C92" s="85"/>
      <c r="D92" s="85"/>
      <c r="E92" s="83" t="s">
        <v>1037</v>
      </c>
      <c r="F92" s="84" t="s">
        <v>1036</v>
      </c>
      <c r="G92" s="85"/>
      <c r="H92" s="85"/>
      <c r="I92" s="85"/>
      <c r="J92" s="85"/>
      <c r="K92" s="86"/>
      <c r="L92" s="86"/>
      <c r="M92" s="90" t="n">
        <f aca="false">1954+2098</f>
        <v>4052</v>
      </c>
      <c r="N92" s="91" t="n">
        <f aca="false">2255+2220</f>
        <v>4475</v>
      </c>
      <c r="O92" s="90" t="n">
        <v>572</v>
      </c>
      <c r="P92" s="90" t="s">
        <v>1005</v>
      </c>
      <c r="Q92" s="81" t="n">
        <v>577</v>
      </c>
      <c r="R92" s="90" t="s">
        <v>1005</v>
      </c>
      <c r="S92" s="81" t="n">
        <v>377</v>
      </c>
      <c r="T92" s="81" t="s">
        <v>1005</v>
      </c>
      <c r="U92" s="81" t="n">
        <v>385</v>
      </c>
      <c r="V92" s="81" t="s">
        <v>1005</v>
      </c>
      <c r="W92" s="81" t="n">
        <v>268</v>
      </c>
      <c r="X92" s="81" t="s">
        <v>1005</v>
      </c>
      <c r="Y92" s="81" t="n">
        <v>309</v>
      </c>
      <c r="Z92" s="81" t="s">
        <v>1005</v>
      </c>
      <c r="AA92" s="81" t="n">
        <v>287</v>
      </c>
      <c r="AB92" s="81" t="s">
        <v>1005</v>
      </c>
      <c r="AC92" s="81" t="n">
        <v>344</v>
      </c>
      <c r="AD92" s="81" t="s">
        <v>1005</v>
      </c>
      <c r="AE92" s="90" t="e">
        <f aca="false">+</f>
        <v>#N/A</v>
      </c>
      <c r="AF92" s="81" t="s">
        <v>1005</v>
      </c>
      <c r="AG92" s="81" t="n">
        <f aca="false">194+195</f>
        <v>389</v>
      </c>
      <c r="AH92" s="81" t="s">
        <v>1005</v>
      </c>
      <c r="AI92" s="81" t="n">
        <f aca="false">362+284</f>
        <v>646</v>
      </c>
      <c r="AJ92" s="81" t="s">
        <v>1005</v>
      </c>
      <c r="AK92" s="81" t="n">
        <f aca="false">347+234</f>
        <v>581</v>
      </c>
      <c r="AL92" s="81" t="s">
        <v>1005</v>
      </c>
      <c r="AM92" s="81" t="e">
        <f aca="false">O92+Q92+S92+U92+W92+Y92+AA92+AC92+AE92+AG92+AI92+AK92</f>
        <v>#N/A</v>
      </c>
    </row>
    <row collapsed="false" customFormat="false" customHeight="true" hidden="false" ht="16.2" outlineLevel="0" r="93">
      <c r="A93" s="80" t="n">
        <v>42</v>
      </c>
      <c r="B93" s="81" t="s">
        <v>117</v>
      </c>
      <c r="C93" s="82" t="s">
        <v>1033</v>
      </c>
      <c r="D93" s="82" t="s">
        <v>1034</v>
      </c>
      <c r="E93" s="83" t="s">
        <v>1035</v>
      </c>
      <c r="F93" s="84" t="s">
        <v>1036</v>
      </c>
      <c r="G93" s="85"/>
      <c r="H93" s="85"/>
      <c r="I93" s="85"/>
      <c r="J93" s="85"/>
      <c r="K93" s="86" t="s">
        <v>53</v>
      </c>
      <c r="L93" s="86" t="s">
        <v>53</v>
      </c>
      <c r="M93" s="90"/>
      <c r="N93" s="90"/>
      <c r="O93" s="90"/>
      <c r="P93" s="90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90"/>
      <c r="AF93" s="81"/>
      <c r="AG93" s="81"/>
      <c r="AH93" s="81"/>
      <c r="AI93" s="81"/>
      <c r="AJ93" s="81"/>
      <c r="AK93" s="81"/>
      <c r="AL93" s="81"/>
      <c r="AM93" s="81" t="n">
        <f aca="false">O93+Q93+S93+U93+W93+Y93+AA93+AC93+AE93+AG93+AI93+AK93</f>
        <v>0</v>
      </c>
    </row>
    <row collapsed="false" customFormat="false" customHeight="true" hidden="false" ht="16.2" outlineLevel="0" r="94">
      <c r="A94" s="80"/>
      <c r="B94" s="89"/>
      <c r="C94" s="85"/>
      <c r="D94" s="85"/>
      <c r="E94" s="83" t="s">
        <v>1037</v>
      </c>
      <c r="F94" s="84" t="s">
        <v>1036</v>
      </c>
      <c r="G94" s="85"/>
      <c r="H94" s="85"/>
      <c r="I94" s="85"/>
      <c r="J94" s="85"/>
      <c r="K94" s="86"/>
      <c r="L94" s="86"/>
      <c r="M94" s="90" t="n">
        <f aca="false">772+591</f>
        <v>1363</v>
      </c>
      <c r="N94" s="91" t="n">
        <f aca="false">1901+1711</f>
        <v>3612</v>
      </c>
      <c r="O94" s="90" t="n">
        <v>706</v>
      </c>
      <c r="P94" s="90" t="s">
        <v>1005</v>
      </c>
      <c r="Q94" s="81" t="n">
        <v>701</v>
      </c>
      <c r="R94" s="90" t="s">
        <v>1005</v>
      </c>
      <c r="S94" s="81" t="n">
        <v>526</v>
      </c>
      <c r="T94" s="81" t="s">
        <v>1005</v>
      </c>
      <c r="U94" s="81" t="n">
        <v>381</v>
      </c>
      <c r="V94" s="81" t="s">
        <v>1005</v>
      </c>
      <c r="W94" s="81" t="n">
        <v>381</v>
      </c>
      <c r="X94" s="81" t="s">
        <v>1005</v>
      </c>
      <c r="Y94" s="81" t="n">
        <v>302</v>
      </c>
      <c r="Z94" s="81" t="s">
        <v>1005</v>
      </c>
      <c r="AA94" s="81" t="n">
        <v>250</v>
      </c>
      <c r="AB94" s="81" t="s">
        <v>1005</v>
      </c>
      <c r="AC94" s="81" t="n">
        <v>357</v>
      </c>
      <c r="AD94" s="81" t="s">
        <v>1005</v>
      </c>
      <c r="AE94" s="90" t="e">
        <f aca="false">+</f>
        <v>#N/A</v>
      </c>
      <c r="AF94" s="81" t="s">
        <v>1005</v>
      </c>
      <c r="AG94" s="81" t="n">
        <f aca="false">249+244</f>
        <v>493</v>
      </c>
      <c r="AH94" s="81" t="s">
        <v>1005</v>
      </c>
      <c r="AI94" s="81" t="n">
        <f aca="false">425+331</f>
        <v>756</v>
      </c>
      <c r="AJ94" s="81" t="s">
        <v>1005</v>
      </c>
      <c r="AK94" s="81" t="n">
        <f aca="false">482</f>
        <v>482</v>
      </c>
      <c r="AL94" s="81" t="s">
        <v>1005</v>
      </c>
      <c r="AM94" s="81" t="e">
        <f aca="false">O94+Q94+S94+U94+W94+Y94+AA94+AC94+AE94+AG94+AI94+AK94</f>
        <v>#N/A</v>
      </c>
    </row>
    <row collapsed="false" customFormat="false" customHeight="true" hidden="false" ht="16.2" outlineLevel="0" r="95">
      <c r="A95" s="80" t="n">
        <v>43</v>
      </c>
      <c r="B95" s="81" t="s">
        <v>118</v>
      </c>
      <c r="C95" s="82" t="s">
        <v>1033</v>
      </c>
      <c r="D95" s="82" t="s">
        <v>1034</v>
      </c>
      <c r="E95" s="83" t="s">
        <v>1035</v>
      </c>
      <c r="F95" s="84" t="s">
        <v>1036</v>
      </c>
      <c r="G95" s="85"/>
      <c r="H95" s="85"/>
      <c r="I95" s="85"/>
      <c r="J95" s="85"/>
      <c r="K95" s="86" t="s">
        <v>53</v>
      </c>
      <c r="L95" s="86" t="s">
        <v>53</v>
      </c>
      <c r="M95" s="90"/>
      <c r="N95" s="90"/>
      <c r="O95" s="90"/>
      <c r="P95" s="90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90"/>
      <c r="AF95" s="81"/>
      <c r="AG95" s="81"/>
      <c r="AH95" s="81"/>
      <c r="AI95" s="81"/>
      <c r="AJ95" s="81"/>
      <c r="AK95" s="81"/>
      <c r="AL95" s="81"/>
      <c r="AM95" s="81" t="n">
        <f aca="false">O95+Q95+S95+U95+W95+Y95+AA95+AC95+AE95+AG95+AI95+AK95</f>
        <v>0</v>
      </c>
    </row>
    <row collapsed="false" customFormat="false" customHeight="true" hidden="false" ht="16.2" outlineLevel="0" r="96">
      <c r="A96" s="80"/>
      <c r="B96" s="89"/>
      <c r="C96" s="85"/>
      <c r="D96" s="85"/>
      <c r="E96" s="83" t="s">
        <v>1037</v>
      </c>
      <c r="F96" s="84" t="s">
        <v>1036</v>
      </c>
      <c r="G96" s="85"/>
      <c r="H96" s="85"/>
      <c r="I96" s="85"/>
      <c r="J96" s="85"/>
      <c r="K96" s="86"/>
      <c r="L96" s="86"/>
      <c r="M96" s="90" t="n">
        <f aca="false">1784+1744</f>
        <v>3528</v>
      </c>
      <c r="N96" s="91" t="n">
        <f aca="false">1962+2111</f>
        <v>4073</v>
      </c>
      <c r="O96" s="90" t="n">
        <v>403</v>
      </c>
      <c r="P96" s="90" t="s">
        <v>1005</v>
      </c>
      <c r="Q96" s="81" t="n">
        <v>445</v>
      </c>
      <c r="R96" s="90" t="s">
        <v>1005</v>
      </c>
      <c r="S96" s="81" t="n">
        <v>398</v>
      </c>
      <c r="T96" s="81" t="s">
        <v>1005</v>
      </c>
      <c r="U96" s="81" t="n">
        <v>333</v>
      </c>
      <c r="V96" s="81" t="s">
        <v>1005</v>
      </c>
      <c r="W96" s="81" t="n">
        <v>764</v>
      </c>
      <c r="X96" s="81" t="s">
        <v>1005</v>
      </c>
      <c r="Y96" s="81" t="n">
        <v>142</v>
      </c>
      <c r="Z96" s="81" t="s">
        <v>1005</v>
      </c>
      <c r="AA96" s="81" t="n">
        <v>120</v>
      </c>
      <c r="AB96" s="81" t="s">
        <v>1005</v>
      </c>
      <c r="AC96" s="81" t="n">
        <v>308</v>
      </c>
      <c r="AD96" s="81" t="s">
        <v>1005</v>
      </c>
      <c r="AE96" s="90" t="e">
        <f aca="false">+</f>
        <v>#N/A</v>
      </c>
      <c r="AF96" s="81" t="s">
        <v>1005</v>
      </c>
      <c r="AG96" s="81" t="n">
        <f aca="false">200+206</f>
        <v>406</v>
      </c>
      <c r="AH96" s="81" t="s">
        <v>1005</v>
      </c>
      <c r="AI96" s="81" t="n">
        <f aca="false">236+193</f>
        <v>429</v>
      </c>
      <c r="AJ96" s="81" t="s">
        <v>1005</v>
      </c>
      <c r="AK96" s="81" t="n">
        <f aca="false">300+208</f>
        <v>508</v>
      </c>
      <c r="AL96" s="81" t="s">
        <v>1005</v>
      </c>
      <c r="AM96" s="81" t="e">
        <f aca="false">O96+Q96+S96+U96+W96+Y96+AA96+AC96+AE96+AG96+AI96+AK96</f>
        <v>#N/A</v>
      </c>
    </row>
    <row collapsed="false" customFormat="false" customHeight="true" hidden="false" ht="16.2" outlineLevel="0" r="97">
      <c r="A97" s="80" t="n">
        <v>44</v>
      </c>
      <c r="B97" s="81" t="s">
        <v>119</v>
      </c>
      <c r="C97" s="82" t="s">
        <v>1033</v>
      </c>
      <c r="D97" s="82" t="s">
        <v>1034</v>
      </c>
      <c r="E97" s="83" t="s">
        <v>1035</v>
      </c>
      <c r="F97" s="84" t="s">
        <v>1036</v>
      </c>
      <c r="G97" s="85"/>
      <c r="H97" s="85"/>
      <c r="I97" s="85"/>
      <c r="J97" s="85"/>
      <c r="K97" s="86" t="s">
        <v>53</v>
      </c>
      <c r="L97" s="86" t="s">
        <v>53</v>
      </c>
      <c r="M97" s="90"/>
      <c r="N97" s="90"/>
      <c r="O97" s="90"/>
      <c r="P97" s="90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90"/>
      <c r="AF97" s="81"/>
      <c r="AG97" s="81"/>
      <c r="AH97" s="81"/>
      <c r="AI97" s="81"/>
      <c r="AJ97" s="81"/>
      <c r="AK97" s="81"/>
      <c r="AL97" s="81"/>
      <c r="AM97" s="81" t="n">
        <f aca="false">O97+Q97+S97+U97+W97+Y97+AA97+AC97+AE97+AG97+AI97+AK97</f>
        <v>0</v>
      </c>
    </row>
    <row collapsed="false" customFormat="false" customHeight="true" hidden="false" ht="16.2" outlineLevel="0" r="98">
      <c r="A98" s="80"/>
      <c r="B98" s="89"/>
      <c r="C98" s="85"/>
      <c r="D98" s="85"/>
      <c r="E98" s="83" t="s">
        <v>1037</v>
      </c>
      <c r="F98" s="84" t="s">
        <v>1036</v>
      </c>
      <c r="G98" s="85"/>
      <c r="H98" s="85"/>
      <c r="I98" s="85"/>
      <c r="J98" s="85"/>
      <c r="K98" s="86"/>
      <c r="L98" s="86"/>
      <c r="M98" s="90" t="n">
        <f aca="false">1283+1584</f>
        <v>2867</v>
      </c>
      <c r="N98" s="91" t="n">
        <f aca="false">1370+1568</f>
        <v>2938</v>
      </c>
      <c r="O98" s="90" t="n">
        <v>367</v>
      </c>
      <c r="P98" s="90" t="s">
        <v>1005</v>
      </c>
      <c r="Q98" s="81" t="n">
        <v>331</v>
      </c>
      <c r="R98" s="90" t="s">
        <v>1005</v>
      </c>
      <c r="S98" s="81" t="n">
        <v>290</v>
      </c>
      <c r="T98" s="81" t="s">
        <v>1005</v>
      </c>
      <c r="U98" s="81" t="n">
        <v>278</v>
      </c>
      <c r="V98" s="81" t="s">
        <v>1005</v>
      </c>
      <c r="W98" s="81" t="n">
        <v>200</v>
      </c>
      <c r="X98" s="81" t="s">
        <v>1005</v>
      </c>
      <c r="Y98" s="81" t="n">
        <v>159</v>
      </c>
      <c r="Z98" s="81" t="s">
        <v>1005</v>
      </c>
      <c r="AA98" s="81" t="n">
        <v>139</v>
      </c>
      <c r="AB98" s="81" t="s">
        <v>1005</v>
      </c>
      <c r="AC98" s="81" t="n">
        <v>188</v>
      </c>
      <c r="AD98" s="81" t="s">
        <v>1005</v>
      </c>
      <c r="AE98" s="90" t="e">
        <f aca="false">+</f>
        <v>#N/A</v>
      </c>
      <c r="AF98" s="81" t="s">
        <v>1005</v>
      </c>
      <c r="AG98" s="81" t="n">
        <f aca="false">113+122</f>
        <v>235</v>
      </c>
      <c r="AH98" s="81" t="s">
        <v>1005</v>
      </c>
      <c r="AI98" s="81" t="n">
        <f aca="false">248+209</f>
        <v>457</v>
      </c>
      <c r="AJ98" s="81" t="s">
        <v>1005</v>
      </c>
      <c r="AK98" s="81" t="n">
        <f aca="false">255+189</f>
        <v>444</v>
      </c>
      <c r="AL98" s="81" t="s">
        <v>1005</v>
      </c>
      <c r="AM98" s="81" t="e">
        <f aca="false">O98+Q98+S98+U98+W98+Y98+AA98+AC98+AE98+AG98+AI98+AK98</f>
        <v>#N/A</v>
      </c>
    </row>
    <row collapsed="false" customFormat="false" customHeight="true" hidden="false" ht="16.2" outlineLevel="0" r="99">
      <c r="A99" s="80" t="n">
        <v>45</v>
      </c>
      <c r="B99" s="81" t="s">
        <v>120</v>
      </c>
      <c r="C99" s="82" t="s">
        <v>1033</v>
      </c>
      <c r="D99" s="82" t="s">
        <v>1034</v>
      </c>
      <c r="E99" s="83" t="s">
        <v>1035</v>
      </c>
      <c r="F99" s="84" t="s">
        <v>1036</v>
      </c>
      <c r="G99" s="85"/>
      <c r="H99" s="85"/>
      <c r="I99" s="85"/>
      <c r="J99" s="85"/>
      <c r="K99" s="86" t="s">
        <v>53</v>
      </c>
      <c r="L99" s="86" t="s">
        <v>53</v>
      </c>
      <c r="M99" s="90"/>
      <c r="N99" s="90"/>
      <c r="O99" s="90"/>
      <c r="P99" s="90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90"/>
      <c r="AF99" s="81"/>
      <c r="AG99" s="81"/>
      <c r="AH99" s="81"/>
      <c r="AI99" s="81"/>
      <c r="AJ99" s="81"/>
      <c r="AK99" s="81"/>
      <c r="AL99" s="81"/>
      <c r="AM99" s="81" t="n">
        <f aca="false">O99+Q99+S99+U99+W99+Y99+AA99+AC99+AE99+AG99+AI99+AK99</f>
        <v>0</v>
      </c>
    </row>
    <row collapsed="false" customFormat="false" customHeight="true" hidden="false" ht="16.2" outlineLevel="0" r="100">
      <c r="A100" s="80"/>
      <c r="B100" s="89"/>
      <c r="C100" s="85"/>
      <c r="D100" s="85"/>
      <c r="E100" s="83" t="s">
        <v>1037</v>
      </c>
      <c r="F100" s="84" t="s">
        <v>1036</v>
      </c>
      <c r="G100" s="85"/>
      <c r="H100" s="85"/>
      <c r="I100" s="85"/>
      <c r="J100" s="85"/>
      <c r="K100" s="86"/>
      <c r="L100" s="86"/>
      <c r="M100" s="90" t="n">
        <f aca="false">1060+1512</f>
        <v>2572</v>
      </c>
      <c r="N100" s="91" t="n">
        <f aca="false">1347+1936</f>
        <v>3283</v>
      </c>
      <c r="O100" s="90" t="n">
        <v>364</v>
      </c>
      <c r="P100" s="90" t="s">
        <v>1005</v>
      </c>
      <c r="Q100" s="81" t="n">
        <v>368</v>
      </c>
      <c r="R100" s="90" t="s">
        <v>1005</v>
      </c>
      <c r="S100" s="81" t="n">
        <v>311</v>
      </c>
      <c r="T100" s="81" t="s">
        <v>1005</v>
      </c>
      <c r="U100" s="81" t="n">
        <v>290</v>
      </c>
      <c r="V100" s="81" t="s">
        <v>1005</v>
      </c>
      <c r="W100" s="81" t="n">
        <v>210</v>
      </c>
      <c r="X100" s="81" t="s">
        <v>1005</v>
      </c>
      <c r="Y100" s="81" t="n">
        <v>184</v>
      </c>
      <c r="Z100" s="81" t="s">
        <v>1005</v>
      </c>
      <c r="AA100" s="81" t="n">
        <v>148</v>
      </c>
      <c r="AB100" s="81" t="s">
        <v>1005</v>
      </c>
      <c r="AC100" s="81" t="n">
        <v>161</v>
      </c>
      <c r="AD100" s="81" t="s">
        <v>1005</v>
      </c>
      <c r="AE100" s="90" t="e">
        <f aca="false">+</f>
        <v>#N/A</v>
      </c>
      <c r="AF100" s="81" t="s">
        <v>1005</v>
      </c>
      <c r="AG100" s="81" t="n">
        <f aca="false">70+112</f>
        <v>182</v>
      </c>
      <c r="AH100" s="81" t="s">
        <v>1005</v>
      </c>
      <c r="AI100" s="81" t="n">
        <f aca="false">182+180</f>
        <v>362</v>
      </c>
      <c r="AJ100" s="81" t="s">
        <v>1005</v>
      </c>
      <c r="AK100" s="81" t="n">
        <f aca="false">250+210</f>
        <v>460</v>
      </c>
      <c r="AL100" s="81" t="s">
        <v>1005</v>
      </c>
      <c r="AM100" s="81" t="e">
        <f aca="false">O100+Q100+S100+U100+W100+Y100+AA100+AC100+AE100+AG100+AI100+AK100</f>
        <v>#N/A</v>
      </c>
    </row>
    <row collapsed="false" customFormat="false" customHeight="true" hidden="false" ht="16.2" outlineLevel="0" r="101">
      <c r="A101" s="80" t="n">
        <v>46</v>
      </c>
      <c r="B101" s="81" t="s">
        <v>121</v>
      </c>
      <c r="C101" s="82" t="s">
        <v>1033</v>
      </c>
      <c r="D101" s="82" t="s">
        <v>1034</v>
      </c>
      <c r="E101" s="83" t="s">
        <v>1035</v>
      </c>
      <c r="F101" s="84" t="s">
        <v>1036</v>
      </c>
      <c r="G101" s="85"/>
      <c r="H101" s="85"/>
      <c r="I101" s="85"/>
      <c r="J101" s="85"/>
      <c r="K101" s="86" t="s">
        <v>53</v>
      </c>
      <c r="L101" s="86" t="s">
        <v>53</v>
      </c>
      <c r="M101" s="90"/>
      <c r="N101" s="90"/>
      <c r="O101" s="90"/>
      <c r="P101" s="90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90"/>
      <c r="AF101" s="81"/>
      <c r="AG101" s="81"/>
      <c r="AH101" s="81"/>
      <c r="AI101" s="81"/>
      <c r="AJ101" s="81"/>
      <c r="AK101" s="81"/>
      <c r="AL101" s="81"/>
      <c r="AM101" s="81" t="n">
        <f aca="false">O101+Q101+S101+U101+W101+Y101+AA101+AC101+AE101+AG101+AI101+AK101</f>
        <v>0</v>
      </c>
    </row>
    <row collapsed="false" customFormat="false" customHeight="true" hidden="false" ht="16.2" outlineLevel="0" r="102">
      <c r="A102" s="80"/>
      <c r="B102" s="89"/>
      <c r="C102" s="85"/>
      <c r="D102" s="85"/>
      <c r="E102" s="83" t="s">
        <v>1037</v>
      </c>
      <c r="F102" s="84" t="s">
        <v>1036</v>
      </c>
      <c r="G102" s="85"/>
      <c r="H102" s="85"/>
      <c r="I102" s="85"/>
      <c r="J102" s="85"/>
      <c r="K102" s="86"/>
      <c r="L102" s="86"/>
      <c r="M102" s="90" t="n">
        <f aca="false">718+558</f>
        <v>1276</v>
      </c>
      <c r="N102" s="91" t="n">
        <f aca="false">855+579</f>
        <v>1434</v>
      </c>
      <c r="O102" s="90" t="n">
        <v>225</v>
      </c>
      <c r="P102" s="90" t="s">
        <v>1005</v>
      </c>
      <c r="Q102" s="81" t="n">
        <v>201</v>
      </c>
      <c r="R102" s="90" t="s">
        <v>1005</v>
      </c>
      <c r="S102" s="81" t="n">
        <v>201</v>
      </c>
      <c r="T102" s="81" t="s">
        <v>1005</v>
      </c>
      <c r="U102" s="81" t="n">
        <v>164</v>
      </c>
      <c r="V102" s="81" t="s">
        <v>1005</v>
      </c>
      <c r="W102" s="81" t="n">
        <v>73</v>
      </c>
      <c r="X102" s="81" t="s">
        <v>1005</v>
      </c>
      <c r="Y102" s="81" t="n">
        <v>146</v>
      </c>
      <c r="Z102" s="81" t="s">
        <v>1005</v>
      </c>
      <c r="AA102" s="81" t="n">
        <v>110</v>
      </c>
      <c r="AB102" s="81" t="s">
        <v>1005</v>
      </c>
      <c r="AC102" s="81" t="n">
        <v>126</v>
      </c>
      <c r="AD102" s="81" t="s">
        <v>1005</v>
      </c>
      <c r="AE102" s="90" t="e">
        <f aca="false">+</f>
        <v>#N/A</v>
      </c>
      <c r="AF102" s="81" t="s">
        <v>1005</v>
      </c>
      <c r="AG102" s="81" t="n">
        <f aca="false">101+65</f>
        <v>166</v>
      </c>
      <c r="AH102" s="81" t="s">
        <v>1005</v>
      </c>
      <c r="AI102" s="81" t="n">
        <f aca="false">150</f>
        <v>150</v>
      </c>
      <c r="AJ102" s="81" t="s">
        <v>1005</v>
      </c>
      <c r="AK102" s="81" t="n">
        <f aca="false">188+115</f>
        <v>303</v>
      </c>
      <c r="AL102" s="81" t="s">
        <v>1005</v>
      </c>
      <c r="AM102" s="81" t="e">
        <f aca="false">O102+Q102+S102+U102+W102+Y102+AA102+AC102+AE102+AG102+AI102+AK102</f>
        <v>#N/A</v>
      </c>
    </row>
    <row collapsed="false" customFormat="false" customHeight="true" hidden="false" ht="16.2" outlineLevel="0" r="103">
      <c r="A103" s="80" t="n">
        <v>47</v>
      </c>
      <c r="B103" s="81" t="s">
        <v>122</v>
      </c>
      <c r="C103" s="82" t="s">
        <v>1033</v>
      </c>
      <c r="D103" s="82" t="s">
        <v>1034</v>
      </c>
      <c r="E103" s="83" t="s">
        <v>1035</v>
      </c>
      <c r="F103" s="84" t="s">
        <v>1036</v>
      </c>
      <c r="G103" s="85"/>
      <c r="H103" s="85"/>
      <c r="I103" s="85"/>
      <c r="J103" s="85"/>
      <c r="K103" s="86" t="s">
        <v>53</v>
      </c>
      <c r="L103" s="86" t="s">
        <v>53</v>
      </c>
      <c r="M103" s="90"/>
      <c r="N103" s="90"/>
      <c r="O103" s="90"/>
      <c r="P103" s="90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90"/>
      <c r="AF103" s="81"/>
      <c r="AG103" s="81"/>
      <c r="AH103" s="81"/>
      <c r="AI103" s="81"/>
      <c r="AJ103" s="81"/>
      <c r="AK103" s="81"/>
      <c r="AL103" s="81"/>
      <c r="AM103" s="81" t="n">
        <f aca="false">O103+Q103+S103+U103+W103+Y103+AA103+AC103+AE103+AG103+AI103+AK103</f>
        <v>0</v>
      </c>
    </row>
    <row collapsed="false" customFormat="false" customHeight="true" hidden="false" ht="16.2" outlineLevel="0" r="104">
      <c r="A104" s="80"/>
      <c r="B104" s="89"/>
      <c r="C104" s="85"/>
      <c r="D104" s="85"/>
      <c r="E104" s="83" t="s">
        <v>1037</v>
      </c>
      <c r="F104" s="84" t="s">
        <v>1036</v>
      </c>
      <c r="G104" s="85"/>
      <c r="H104" s="85"/>
      <c r="I104" s="85"/>
      <c r="J104" s="85"/>
      <c r="K104" s="86"/>
      <c r="L104" s="86"/>
      <c r="M104" s="90" t="n">
        <f aca="false">685+455</f>
        <v>1140</v>
      </c>
      <c r="N104" s="91" t="n">
        <f aca="false">1840+1261</f>
        <v>3101</v>
      </c>
      <c r="O104" s="90" t="n">
        <v>1268</v>
      </c>
      <c r="P104" s="90" t="s">
        <v>1005</v>
      </c>
      <c r="Q104" s="81" t="n">
        <v>256</v>
      </c>
      <c r="R104" s="90" t="s">
        <v>1005</v>
      </c>
      <c r="S104" s="81" t="n">
        <v>159</v>
      </c>
      <c r="T104" s="81" t="s">
        <v>1005</v>
      </c>
      <c r="U104" s="81" t="n">
        <v>123</v>
      </c>
      <c r="V104" s="81" t="s">
        <v>1005</v>
      </c>
      <c r="W104" s="81" t="n">
        <v>64</v>
      </c>
      <c r="X104" s="81" t="s">
        <v>1005</v>
      </c>
      <c r="Y104" s="81" t="n">
        <v>133</v>
      </c>
      <c r="Z104" s="81" t="s">
        <v>1005</v>
      </c>
      <c r="AA104" s="81" t="n">
        <v>180</v>
      </c>
      <c r="AB104" s="81" t="s">
        <v>1005</v>
      </c>
      <c r="AC104" s="81" t="n">
        <v>391</v>
      </c>
      <c r="AD104" s="81" t="s">
        <v>1005</v>
      </c>
      <c r="AE104" s="90" t="e">
        <f aca="false">+</f>
        <v>#N/A</v>
      </c>
      <c r="AF104" s="81" t="s">
        <v>1005</v>
      </c>
      <c r="AG104" s="81" t="n">
        <f aca="false">243+222</f>
        <v>465</v>
      </c>
      <c r="AH104" s="81" t="s">
        <v>1005</v>
      </c>
      <c r="AI104" s="81" t="n">
        <f aca="false">267+199</f>
        <v>466</v>
      </c>
      <c r="AJ104" s="81" t="s">
        <v>1005</v>
      </c>
      <c r="AK104" s="81" t="n">
        <f aca="false">255+171</f>
        <v>426</v>
      </c>
      <c r="AL104" s="81" t="s">
        <v>1005</v>
      </c>
      <c r="AM104" s="81" t="e">
        <f aca="false">O104+Q104+S104+U104+W104+Y104+AA104+AC104+AE104+AG104+AI104+AK104</f>
        <v>#N/A</v>
      </c>
    </row>
    <row collapsed="false" customFormat="false" customHeight="true" hidden="false" ht="16.2" outlineLevel="0" r="105">
      <c r="A105" s="80" t="n">
        <v>48</v>
      </c>
      <c r="B105" s="81"/>
      <c r="C105" s="82" t="s">
        <v>1033</v>
      </c>
      <c r="D105" s="85"/>
      <c r="E105" s="83" t="s">
        <v>1035</v>
      </c>
      <c r="F105" s="49"/>
      <c r="G105" s="85"/>
      <c r="H105" s="85"/>
      <c r="I105" s="85"/>
      <c r="J105" s="85"/>
      <c r="K105" s="85"/>
      <c r="L105" s="85"/>
      <c r="M105" s="81"/>
      <c r="N105" s="81"/>
      <c r="O105" s="96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</row>
    <row collapsed="false" customFormat="false" customHeight="true" hidden="false" ht="16.2" outlineLevel="0" r="106">
      <c r="A106" s="80"/>
      <c r="B106" s="81" t="s">
        <v>124</v>
      </c>
      <c r="C106" s="85"/>
      <c r="D106" s="85" t="s">
        <v>1038</v>
      </c>
      <c r="E106" s="83" t="s">
        <v>1037</v>
      </c>
      <c r="F106" s="49" t="s">
        <v>1036</v>
      </c>
      <c r="G106" s="85" t="s">
        <v>1043</v>
      </c>
      <c r="H106" s="85" t="n">
        <v>25</v>
      </c>
      <c r="I106" s="85" t="s">
        <v>1044</v>
      </c>
      <c r="J106" s="85" t="n">
        <v>6</v>
      </c>
      <c r="K106" s="85" t="s">
        <v>1041</v>
      </c>
      <c r="L106" s="85" t="s">
        <v>1041</v>
      </c>
      <c r="M106" s="81" t="n">
        <v>12258</v>
      </c>
      <c r="N106" s="81"/>
      <c r="O106" s="96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</row>
    <row collapsed="false" customFormat="false" customHeight="true" hidden="false" ht="16.2" outlineLevel="0" r="107">
      <c r="A107" s="80" t="n">
        <v>49</v>
      </c>
      <c r="B107" s="81"/>
      <c r="C107" s="82" t="s">
        <v>1033</v>
      </c>
      <c r="D107" s="85"/>
      <c r="E107" s="83" t="s">
        <v>1035</v>
      </c>
      <c r="F107" s="49"/>
      <c r="G107" s="85"/>
      <c r="H107" s="85"/>
      <c r="I107" s="85"/>
      <c r="J107" s="85"/>
      <c r="K107" s="85"/>
      <c r="L107" s="85"/>
      <c r="M107" s="81"/>
      <c r="N107" s="81"/>
      <c r="O107" s="96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</row>
    <row collapsed="false" customFormat="false" customHeight="true" hidden="false" ht="16.2" outlineLevel="0" r="108">
      <c r="A108" s="80"/>
      <c r="B108" s="81" t="s">
        <v>125</v>
      </c>
      <c r="C108" s="85"/>
      <c r="D108" s="85" t="s">
        <v>1038</v>
      </c>
      <c r="E108" s="83" t="s">
        <v>1037</v>
      </c>
      <c r="F108" s="49" t="s">
        <v>1036</v>
      </c>
      <c r="G108" s="85" t="s">
        <v>1044</v>
      </c>
      <c r="H108" s="85" t="n">
        <v>20</v>
      </c>
      <c r="I108" s="85" t="s">
        <v>1044</v>
      </c>
      <c r="J108" s="85" t="n">
        <v>1</v>
      </c>
      <c r="K108" s="85" t="s">
        <v>1041</v>
      </c>
      <c r="L108" s="85" t="s">
        <v>1041</v>
      </c>
      <c r="M108" s="81" t="n">
        <v>8298</v>
      </c>
      <c r="N108" s="81"/>
      <c r="O108" s="96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</row>
    <row collapsed="false" customFormat="false" customHeight="true" hidden="false" ht="16.2" outlineLevel="0" r="109">
      <c r="A109" s="80" t="n">
        <v>50</v>
      </c>
      <c r="B109" s="81"/>
      <c r="C109" s="82" t="s">
        <v>1033</v>
      </c>
      <c r="D109" s="85"/>
      <c r="E109" s="83" t="s">
        <v>1035</v>
      </c>
      <c r="F109" s="49"/>
      <c r="G109" s="85"/>
      <c r="H109" s="85"/>
      <c r="I109" s="85"/>
      <c r="J109" s="85"/>
      <c r="K109" s="85"/>
      <c r="L109" s="85"/>
      <c r="M109" s="81"/>
      <c r="N109" s="81"/>
      <c r="O109" s="96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</row>
    <row collapsed="false" customFormat="false" customHeight="true" hidden="false" ht="16.2" outlineLevel="0" r="110">
      <c r="A110" s="80"/>
      <c r="B110" s="81" t="s">
        <v>126</v>
      </c>
      <c r="C110" s="85"/>
      <c r="D110" s="85" t="s">
        <v>1038</v>
      </c>
      <c r="E110" s="83" t="s">
        <v>1037</v>
      </c>
      <c r="F110" s="49" t="s">
        <v>1036</v>
      </c>
      <c r="G110" s="85" t="s">
        <v>1043</v>
      </c>
      <c r="H110" s="85" t="n">
        <v>24</v>
      </c>
      <c r="I110" s="85" t="s">
        <v>1044</v>
      </c>
      <c r="J110" s="85" t="n">
        <v>5</v>
      </c>
      <c r="K110" s="85" t="s">
        <v>1041</v>
      </c>
      <c r="L110" s="85" t="s">
        <v>1041</v>
      </c>
      <c r="M110" s="81" t="n">
        <v>4716</v>
      </c>
      <c r="N110" s="81"/>
      <c r="O110" s="96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</row>
    <row collapsed="false" customFormat="false" customHeight="true" hidden="false" ht="16.2" outlineLevel="0" r="111">
      <c r="A111" s="80" t="n">
        <v>51</v>
      </c>
      <c r="B111" s="81"/>
      <c r="C111" s="82" t="s">
        <v>1033</v>
      </c>
      <c r="D111" s="85"/>
      <c r="E111" s="83" t="s">
        <v>1035</v>
      </c>
      <c r="F111" s="49" t="s">
        <v>1036</v>
      </c>
      <c r="G111" s="85"/>
      <c r="H111" s="85"/>
      <c r="I111" s="85"/>
      <c r="J111" s="85"/>
      <c r="K111" s="85"/>
      <c r="L111" s="85"/>
      <c r="M111" s="81" t="n">
        <v>5061</v>
      </c>
      <c r="N111" s="81"/>
      <c r="O111" s="96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</row>
    <row collapsed="false" customFormat="false" customHeight="true" hidden="false" ht="16.2" outlineLevel="0" r="112">
      <c r="A112" s="80"/>
      <c r="B112" s="81" t="s">
        <v>127</v>
      </c>
      <c r="C112" s="85"/>
      <c r="D112" s="85" t="s">
        <v>1038</v>
      </c>
      <c r="E112" s="83" t="s">
        <v>1037</v>
      </c>
      <c r="F112" s="49" t="s">
        <v>1036</v>
      </c>
      <c r="G112" s="85" t="s">
        <v>1045</v>
      </c>
      <c r="H112" s="85" t="n">
        <v>50</v>
      </c>
      <c r="I112" s="85" t="s">
        <v>1044</v>
      </c>
      <c r="J112" s="85" t="n">
        <v>1</v>
      </c>
      <c r="K112" s="85" t="s">
        <v>1041</v>
      </c>
      <c r="L112" s="85" t="s">
        <v>1041</v>
      </c>
      <c r="M112" s="81" t="n">
        <v>5061</v>
      </c>
      <c r="N112" s="81"/>
      <c r="O112" s="96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</row>
    <row collapsed="false" customFormat="false" customHeight="true" hidden="false" ht="16.2" outlineLevel="0" r="113">
      <c r="A113" s="80" t="n">
        <v>52</v>
      </c>
      <c r="B113" s="81"/>
      <c r="C113" s="82" t="s">
        <v>1033</v>
      </c>
      <c r="D113" s="85"/>
      <c r="E113" s="83" t="s">
        <v>1035</v>
      </c>
      <c r="F113" s="49"/>
      <c r="G113" s="85"/>
      <c r="H113" s="85"/>
      <c r="I113" s="85"/>
      <c r="J113" s="85"/>
      <c r="K113" s="85"/>
      <c r="L113" s="85"/>
      <c r="M113" s="81"/>
      <c r="N113" s="81"/>
      <c r="O113" s="96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</row>
    <row collapsed="false" customFormat="false" customHeight="true" hidden="false" ht="16.2" outlineLevel="0" r="114">
      <c r="A114" s="80"/>
      <c r="B114" s="81" t="s">
        <v>128</v>
      </c>
      <c r="C114" s="85"/>
      <c r="D114" s="85" t="s">
        <v>1038</v>
      </c>
      <c r="E114" s="83" t="s">
        <v>1037</v>
      </c>
      <c r="F114" s="49" t="s">
        <v>1036</v>
      </c>
      <c r="G114" s="85" t="s">
        <v>1044</v>
      </c>
      <c r="H114" s="85" t="n">
        <v>30</v>
      </c>
      <c r="I114" s="85" t="s">
        <v>1044</v>
      </c>
      <c r="J114" s="85" t="n">
        <v>5</v>
      </c>
      <c r="K114" s="85" t="s">
        <v>1041</v>
      </c>
      <c r="L114" s="85" t="s">
        <v>1041</v>
      </c>
      <c r="M114" s="81" t="n">
        <v>8562</v>
      </c>
      <c r="N114" s="81"/>
      <c r="O114" s="96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</row>
    <row collapsed="false" customFormat="false" customHeight="true" hidden="false" ht="16.2" outlineLevel="0" r="115">
      <c r="A115" s="80" t="n">
        <v>53</v>
      </c>
      <c r="B115" s="81"/>
      <c r="C115" s="82" t="s">
        <v>1033</v>
      </c>
      <c r="D115" s="85"/>
      <c r="E115" s="83" t="s">
        <v>1035</v>
      </c>
      <c r="F115" s="49"/>
      <c r="G115" s="85"/>
      <c r="H115" s="85"/>
      <c r="I115" s="85"/>
      <c r="J115" s="85"/>
      <c r="K115" s="85"/>
      <c r="L115" s="85"/>
      <c r="M115" s="81"/>
      <c r="N115" s="81"/>
      <c r="O115" s="96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</row>
    <row collapsed="false" customFormat="false" customHeight="true" hidden="false" ht="16.2" outlineLevel="0" r="116">
      <c r="A116" s="80"/>
      <c r="B116" s="81" t="s">
        <v>135</v>
      </c>
      <c r="C116" s="85"/>
      <c r="D116" s="85" t="s">
        <v>1038</v>
      </c>
      <c r="E116" s="83" t="s">
        <v>1037</v>
      </c>
      <c r="F116" s="49" t="s">
        <v>1036</v>
      </c>
      <c r="G116" s="85" t="s">
        <v>1044</v>
      </c>
      <c r="H116" s="85" t="n">
        <v>6</v>
      </c>
      <c r="I116" s="85" t="s">
        <v>1039</v>
      </c>
      <c r="J116" s="85" t="n">
        <v>1</v>
      </c>
      <c r="K116" s="85" t="s">
        <v>1041</v>
      </c>
      <c r="L116" s="85" t="s">
        <v>1041</v>
      </c>
      <c r="M116" s="81" t="n">
        <v>0</v>
      </c>
      <c r="N116" s="81"/>
      <c r="O116" s="96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</row>
    <row collapsed="false" customFormat="false" customHeight="true" hidden="false" ht="16.2" outlineLevel="0" r="117">
      <c r="A117" s="80" t="n">
        <v>54</v>
      </c>
      <c r="B117" s="81"/>
      <c r="C117" s="82" t="s">
        <v>1033</v>
      </c>
      <c r="D117" s="85"/>
      <c r="E117" s="83" t="s">
        <v>1035</v>
      </c>
      <c r="F117" s="49"/>
      <c r="G117" s="85"/>
      <c r="H117" s="85"/>
      <c r="I117" s="85"/>
      <c r="J117" s="85"/>
      <c r="K117" s="85"/>
      <c r="L117" s="85"/>
      <c r="M117" s="81"/>
      <c r="N117" s="81"/>
      <c r="O117" s="96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</row>
    <row collapsed="false" customFormat="false" customHeight="true" hidden="false" ht="16.2" outlineLevel="0" r="118">
      <c r="A118" s="80"/>
      <c r="B118" s="81" t="s">
        <v>136</v>
      </c>
      <c r="C118" s="85"/>
      <c r="D118" s="85" t="s">
        <v>1038</v>
      </c>
      <c r="E118" s="83" t="s">
        <v>1037</v>
      </c>
      <c r="F118" s="49" t="s">
        <v>1036</v>
      </c>
      <c r="G118" s="85" t="s">
        <v>1044</v>
      </c>
      <c r="H118" s="85" t="n">
        <v>4</v>
      </c>
      <c r="I118" s="85" t="s">
        <v>1039</v>
      </c>
      <c r="J118" s="85" t="n">
        <v>1</v>
      </c>
      <c r="K118" s="85" t="s">
        <v>1041</v>
      </c>
      <c r="L118" s="85" t="s">
        <v>1041</v>
      </c>
      <c r="M118" s="81" t="n">
        <v>0</v>
      </c>
      <c r="N118" s="81"/>
      <c r="O118" s="96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</row>
    <row collapsed="false" customFormat="false" customHeight="true" hidden="false" ht="16.2" outlineLevel="0" r="119">
      <c r="A119" s="80" t="n">
        <v>55</v>
      </c>
      <c r="B119" s="81"/>
      <c r="C119" s="82" t="s">
        <v>1033</v>
      </c>
      <c r="D119" s="85"/>
      <c r="E119" s="83" t="s">
        <v>1035</v>
      </c>
      <c r="F119" s="49" t="s">
        <v>1036</v>
      </c>
      <c r="G119" s="85"/>
      <c r="H119" s="85"/>
      <c r="I119" s="85"/>
      <c r="J119" s="85"/>
      <c r="K119" s="85"/>
      <c r="L119" s="85"/>
      <c r="M119" s="81"/>
      <c r="N119" s="81"/>
      <c r="O119" s="96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</row>
    <row collapsed="false" customFormat="false" customHeight="true" hidden="false" ht="16.2" outlineLevel="0" r="120">
      <c r="A120" s="80"/>
      <c r="B120" s="81" t="s">
        <v>137</v>
      </c>
      <c r="C120" s="85"/>
      <c r="D120" s="85" t="s">
        <v>1038</v>
      </c>
      <c r="E120" s="83" t="s">
        <v>1037</v>
      </c>
      <c r="F120" s="49" t="s">
        <v>1036</v>
      </c>
      <c r="G120" s="85" t="s">
        <v>1039</v>
      </c>
      <c r="H120" s="85" t="n">
        <v>270</v>
      </c>
      <c r="I120" s="85" t="s">
        <v>1046</v>
      </c>
      <c r="J120" s="85" t="n">
        <v>10</v>
      </c>
      <c r="K120" s="85" t="s">
        <v>1041</v>
      </c>
      <c r="L120" s="85" t="s">
        <v>1041</v>
      </c>
      <c r="M120" s="81" t="n">
        <v>75318</v>
      </c>
      <c r="N120" s="81"/>
      <c r="O120" s="96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</row>
    <row collapsed="false" customFormat="false" customHeight="true" hidden="false" ht="16.2" outlineLevel="0" r="121">
      <c r="A121" s="80" t="n">
        <v>56</v>
      </c>
      <c r="B121" s="81"/>
      <c r="C121" s="82" t="s">
        <v>1033</v>
      </c>
      <c r="D121" s="85"/>
      <c r="E121" s="83" t="s">
        <v>1035</v>
      </c>
      <c r="F121" s="49" t="s">
        <v>1036</v>
      </c>
      <c r="G121" s="85"/>
      <c r="H121" s="85"/>
      <c r="I121" s="85"/>
      <c r="J121" s="85"/>
      <c r="K121" s="85"/>
      <c r="L121" s="85"/>
      <c r="M121" s="81" t="n">
        <v>11688</v>
      </c>
      <c r="N121" s="81"/>
      <c r="O121" s="96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</row>
    <row collapsed="false" customFormat="false" customHeight="true" hidden="false" ht="16.2" outlineLevel="0" r="122">
      <c r="A122" s="80"/>
      <c r="B122" s="81" t="s">
        <v>140</v>
      </c>
      <c r="C122" s="85"/>
      <c r="D122" s="85" t="s">
        <v>1038</v>
      </c>
      <c r="E122" s="83" t="s">
        <v>1037</v>
      </c>
      <c r="F122" s="49" t="s">
        <v>1036</v>
      </c>
      <c r="G122" s="85" t="s">
        <v>1039</v>
      </c>
      <c r="H122" s="85" t="n">
        <v>66</v>
      </c>
      <c r="I122" s="85" t="s">
        <v>1046</v>
      </c>
      <c r="J122" s="85" t="n">
        <v>21</v>
      </c>
      <c r="K122" s="85" t="s">
        <v>1041</v>
      </c>
      <c r="L122" s="85" t="s">
        <v>1041</v>
      </c>
      <c r="M122" s="81" t="n">
        <v>11688</v>
      </c>
      <c r="N122" s="81"/>
      <c r="O122" s="96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</row>
    <row collapsed="false" customFormat="false" customHeight="true" hidden="false" ht="16.2" outlineLevel="0" r="123">
      <c r="A123" s="80" t="n">
        <v>57</v>
      </c>
      <c r="B123" s="98"/>
      <c r="C123" s="82" t="s">
        <v>1033</v>
      </c>
      <c r="D123" s="85"/>
      <c r="E123" s="83" t="s">
        <v>1035</v>
      </c>
      <c r="F123" s="49" t="s">
        <v>1036</v>
      </c>
      <c r="G123" s="85"/>
      <c r="H123" s="85"/>
      <c r="I123" s="85"/>
      <c r="J123" s="85"/>
      <c r="K123" s="93" t="s">
        <v>53</v>
      </c>
      <c r="L123" s="93" t="s">
        <v>53</v>
      </c>
      <c r="M123" s="81" t="n">
        <f aca="false">620+190+720+230+740+210+720+210+750+200+960+300+730+200+840+980+770+200+710+200+770+210+660+90</f>
        <v>12210</v>
      </c>
      <c r="N123" s="81" t="n">
        <f aca="false">850+250+690+210+740+210+740+210+830+230+710+220+710+210+700+210+730+200+710+200+820+250+746+225</f>
        <v>11601</v>
      </c>
      <c r="O123" s="81" t="n">
        <f aca="false">574+175</f>
        <v>749</v>
      </c>
      <c r="P123" s="81"/>
      <c r="Q123" s="81" t="n">
        <f aca="false">760+230</f>
        <v>990</v>
      </c>
      <c r="R123" s="81"/>
      <c r="S123" s="81" t="n">
        <f aca="false">660+200</f>
        <v>860</v>
      </c>
      <c r="T123" s="81"/>
      <c r="U123" s="81" t="n">
        <f aca="false">760+210</f>
        <v>970</v>
      </c>
      <c r="V123" s="81"/>
      <c r="W123" s="81" t="n">
        <f aca="false">720+210</f>
        <v>930</v>
      </c>
      <c r="X123" s="81"/>
      <c r="Y123" s="81" t="n">
        <f aca="false">795+230</f>
        <v>1025</v>
      </c>
      <c r="Z123" s="81"/>
      <c r="AA123" s="81" t="n">
        <f aca="false">775+220</f>
        <v>995</v>
      </c>
      <c r="AB123" s="81"/>
      <c r="AC123" s="81" t="n">
        <f aca="false">660+220</f>
        <v>880</v>
      </c>
      <c r="AD123" s="81"/>
      <c r="AE123" s="81" t="n">
        <f aca="false">770+215</f>
        <v>985</v>
      </c>
      <c r="AF123" s="81"/>
      <c r="AG123" s="81" t="n">
        <f aca="false">700+185</f>
        <v>885</v>
      </c>
      <c r="AH123" s="81"/>
      <c r="AI123" s="81" t="n">
        <f aca="false">730+230</f>
        <v>960</v>
      </c>
      <c r="AJ123" s="81"/>
      <c r="AK123" s="81" t="n">
        <f aca="false">680+200</f>
        <v>880</v>
      </c>
      <c r="AL123" s="81"/>
      <c r="AM123" s="81" t="n">
        <f aca="false">O123+Q123+S123+U123+W123+Y123+AA123+AC123+AE123+AG123+AI123+AK123</f>
        <v>11109</v>
      </c>
    </row>
    <row collapsed="false" customFormat="false" customHeight="true" hidden="false" ht="16.2" outlineLevel="0" r="124">
      <c r="A124" s="80"/>
      <c r="B124" s="98" t="s">
        <v>130</v>
      </c>
      <c r="C124" s="85"/>
      <c r="D124" s="85" t="s">
        <v>1047</v>
      </c>
      <c r="E124" s="83" t="s">
        <v>1037</v>
      </c>
      <c r="F124" s="49" t="s">
        <v>1036</v>
      </c>
      <c r="G124" s="85" t="s">
        <v>1048</v>
      </c>
      <c r="H124" s="85" t="n">
        <v>64</v>
      </c>
      <c r="I124" s="85" t="s">
        <v>1049</v>
      </c>
      <c r="J124" s="85" t="n">
        <v>6</v>
      </c>
      <c r="K124" s="93" t="s">
        <v>53</v>
      </c>
      <c r="L124" s="93" t="s">
        <v>53</v>
      </c>
      <c r="M124" s="81" t="n">
        <f aca="false">1230+832+1115+890+890+770+860+860+900+980+750+750+870+770+820+750+780+770+950+860+1170+870+1040+750</f>
        <v>21227</v>
      </c>
      <c r="N124" s="81" t="n">
        <f aca="false">1092+698+1140+760+850+620+790+600+800+610+760+610+700+560+820+680+760+610+900+680+960+720+1400+1030</f>
        <v>19150</v>
      </c>
      <c r="O124" s="81" t="n">
        <f aca="false">1400+1030</f>
        <v>2430</v>
      </c>
      <c r="P124" s="81"/>
      <c r="Q124" s="81" t="n">
        <f aca="false">960+720</f>
        <v>1680</v>
      </c>
      <c r="R124" s="81"/>
      <c r="S124" s="81" t="n">
        <f aca="false">900+680</f>
        <v>1580</v>
      </c>
      <c r="T124" s="81"/>
      <c r="U124" s="81" t="n">
        <f aca="false">760+610</f>
        <v>1370</v>
      </c>
      <c r="V124" s="81"/>
      <c r="W124" s="81" t="n">
        <f aca="false">820+680</f>
        <v>1500</v>
      </c>
      <c r="X124" s="81"/>
      <c r="Y124" s="81" t="n">
        <f aca="false">700+560</f>
        <v>1260</v>
      </c>
      <c r="Z124" s="81"/>
      <c r="AA124" s="81" t="n">
        <f aca="false">760+610</f>
        <v>1370</v>
      </c>
      <c r="AB124" s="81"/>
      <c r="AC124" s="81" t="n">
        <f aca="false">800+610</f>
        <v>1410</v>
      </c>
      <c r="AD124" s="81"/>
      <c r="AE124" s="81" t="n">
        <f aca="false">790+600</f>
        <v>1390</v>
      </c>
      <c r="AF124" s="81"/>
      <c r="AG124" s="81" t="n">
        <f aca="false">850+620</f>
        <v>1470</v>
      </c>
      <c r="AH124" s="81"/>
      <c r="AI124" s="81" t="n">
        <f aca="false">1170+760</f>
        <v>1930</v>
      </c>
      <c r="AJ124" s="81"/>
      <c r="AK124" s="81" t="n">
        <f aca="false">1040+698</f>
        <v>1738</v>
      </c>
      <c r="AL124" s="81"/>
      <c r="AM124" s="81" t="n">
        <f aca="false">O124+Q124+S124+U124+W124+Y124+AA124+AC124+AE124+AG124+AI124+AK124</f>
        <v>19128</v>
      </c>
    </row>
    <row collapsed="false" customFormat="false" customHeight="true" hidden="false" ht="16.2" outlineLevel="0" r="125">
      <c r="A125" s="80" t="n">
        <v>58</v>
      </c>
      <c r="B125" s="81"/>
      <c r="C125" s="82" t="s">
        <v>1033</v>
      </c>
      <c r="D125" s="85"/>
      <c r="E125" s="83" t="s">
        <v>1035</v>
      </c>
      <c r="F125" s="49" t="s">
        <v>1036</v>
      </c>
      <c r="G125" s="85"/>
      <c r="H125" s="85"/>
      <c r="I125" s="85"/>
      <c r="J125" s="85"/>
      <c r="K125" s="85"/>
      <c r="L125" s="85"/>
      <c r="M125" s="81" t="n">
        <v>68106</v>
      </c>
      <c r="N125" s="81"/>
      <c r="O125" s="96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</row>
    <row collapsed="false" customFormat="false" customHeight="true" hidden="false" ht="16.2" outlineLevel="0" r="126">
      <c r="A126" s="80"/>
      <c r="B126" s="81" t="s">
        <v>142</v>
      </c>
      <c r="C126" s="85"/>
      <c r="D126" s="85" t="s">
        <v>1038</v>
      </c>
      <c r="E126" s="83" t="s">
        <v>1037</v>
      </c>
      <c r="F126" s="49" t="s">
        <v>1036</v>
      </c>
      <c r="G126" s="85" t="s">
        <v>1039</v>
      </c>
      <c r="H126" s="85" t="n">
        <v>122</v>
      </c>
      <c r="I126" s="85" t="s">
        <v>1046</v>
      </c>
      <c r="J126" s="85" t="n">
        <v>11</v>
      </c>
      <c r="K126" s="85"/>
      <c r="L126" s="85"/>
      <c r="M126" s="81" t="n">
        <v>68106</v>
      </c>
      <c r="N126" s="81"/>
      <c r="O126" s="96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</row>
    <row collapsed="false" customFormat="false" customHeight="true" hidden="false" ht="16.2" outlineLevel="0" r="127">
      <c r="A127" s="80" t="n">
        <v>59</v>
      </c>
      <c r="B127" s="81" t="s">
        <v>145</v>
      </c>
      <c r="C127" s="82" t="s">
        <v>1033</v>
      </c>
      <c r="D127" s="82" t="s">
        <v>1034</v>
      </c>
      <c r="E127" s="83" t="s">
        <v>1035</v>
      </c>
      <c r="F127" s="84" t="s">
        <v>1036</v>
      </c>
      <c r="G127" s="85"/>
      <c r="H127" s="85"/>
      <c r="I127" s="85"/>
      <c r="J127" s="85"/>
      <c r="K127" s="86" t="s">
        <v>53</v>
      </c>
      <c r="L127" s="86" t="s">
        <v>53</v>
      </c>
      <c r="M127" s="90"/>
      <c r="N127" s="90"/>
      <c r="O127" s="90"/>
      <c r="P127" s="90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90"/>
      <c r="AF127" s="81"/>
      <c r="AG127" s="81"/>
      <c r="AH127" s="81"/>
      <c r="AI127" s="81"/>
      <c r="AJ127" s="81"/>
      <c r="AK127" s="81"/>
      <c r="AL127" s="81"/>
      <c r="AM127" s="81" t="n">
        <f aca="false">O127+Q127+S127+U127+W127+Y127+AA127+AC127+AE127+AG127+AI127+AK127</f>
        <v>0</v>
      </c>
    </row>
    <row collapsed="false" customFormat="false" customHeight="true" hidden="false" ht="16.2" outlineLevel="0" r="128">
      <c r="A128" s="80"/>
      <c r="B128" s="89"/>
      <c r="C128" s="85"/>
      <c r="D128" s="85"/>
      <c r="E128" s="83" t="s">
        <v>1037</v>
      </c>
      <c r="F128" s="84" t="s">
        <v>1036</v>
      </c>
      <c r="G128" s="85"/>
      <c r="H128" s="85"/>
      <c r="I128" s="85"/>
      <c r="J128" s="85"/>
      <c r="K128" s="86"/>
      <c r="L128" s="86"/>
      <c r="M128" s="90" t="n">
        <f aca="false">2476+3543</f>
        <v>6019</v>
      </c>
      <c r="N128" s="91" t="n">
        <f aca="false">3165+4011</f>
        <v>7176</v>
      </c>
      <c r="O128" s="90" t="n">
        <v>976</v>
      </c>
      <c r="P128" s="90" t="s">
        <v>1005</v>
      </c>
      <c r="Q128" s="81" t="n">
        <v>820</v>
      </c>
      <c r="R128" s="90" t="s">
        <v>1005</v>
      </c>
      <c r="S128" s="81" t="n">
        <v>761</v>
      </c>
      <c r="T128" s="81" t="s">
        <v>1005</v>
      </c>
      <c r="U128" s="81" t="n">
        <v>533</v>
      </c>
      <c r="V128" s="81" t="s">
        <v>1005</v>
      </c>
      <c r="W128" s="81" t="n">
        <v>384</v>
      </c>
      <c r="X128" s="81" t="s">
        <v>1005</v>
      </c>
      <c r="Y128" s="81" t="n">
        <v>190</v>
      </c>
      <c r="Z128" s="81" t="s">
        <v>1005</v>
      </c>
      <c r="AA128" s="81" t="n">
        <v>173</v>
      </c>
      <c r="AB128" s="81" t="s">
        <v>1005</v>
      </c>
      <c r="AC128" s="81" t="n">
        <v>397</v>
      </c>
      <c r="AD128" s="81" t="s">
        <v>1005</v>
      </c>
      <c r="AE128" s="90" t="e">
        <f aca="false">+</f>
        <v>#N/A</v>
      </c>
      <c r="AF128" s="81" t="s">
        <v>1005</v>
      </c>
      <c r="AG128" s="81" t="n">
        <f aca="false">349+491</f>
        <v>840</v>
      </c>
      <c r="AH128" s="81" t="s">
        <v>1005</v>
      </c>
      <c r="AI128" s="81" t="n">
        <f aca="false">503+505</f>
        <v>1008</v>
      </c>
      <c r="AJ128" s="81" t="s">
        <v>1005</v>
      </c>
      <c r="AK128" s="81" t="n">
        <f aca="false">530+515</f>
        <v>1045</v>
      </c>
      <c r="AL128" s="81" t="s">
        <v>1005</v>
      </c>
      <c r="AM128" s="81" t="e">
        <f aca="false">O128+Q128+S128+U128+W128+Y128+AA128+AC128+AE128+AG128+AI128+AK128</f>
        <v>#N/A</v>
      </c>
    </row>
    <row collapsed="false" customFormat="false" customHeight="true" hidden="false" ht="16.2" outlineLevel="0" r="129">
      <c r="A129" s="80" t="n">
        <v>60</v>
      </c>
      <c r="B129" s="81" t="s">
        <v>146</v>
      </c>
      <c r="C129" s="82" t="s">
        <v>1033</v>
      </c>
      <c r="D129" s="82" t="s">
        <v>1034</v>
      </c>
      <c r="E129" s="83" t="s">
        <v>1035</v>
      </c>
      <c r="F129" s="84" t="s">
        <v>1036</v>
      </c>
      <c r="G129" s="85"/>
      <c r="H129" s="85"/>
      <c r="I129" s="85"/>
      <c r="J129" s="85"/>
      <c r="K129" s="86" t="s">
        <v>53</v>
      </c>
      <c r="L129" s="86" t="s">
        <v>53</v>
      </c>
      <c r="M129" s="90" t="n">
        <f aca="false">12900+3516</f>
        <v>16416</v>
      </c>
      <c r="N129" s="90" t="n">
        <f aca="false">8627+2876</f>
        <v>11503</v>
      </c>
      <c r="O129" s="90" t="n">
        <v>183</v>
      </c>
      <c r="P129" s="90"/>
      <c r="Q129" s="81" t="n">
        <v>197</v>
      </c>
      <c r="R129" s="81"/>
      <c r="S129" s="81" t="n">
        <v>149</v>
      </c>
      <c r="T129" s="81"/>
      <c r="U129" s="81" t="n">
        <v>207</v>
      </c>
      <c r="V129" s="81"/>
      <c r="W129" s="81" t="n">
        <v>209</v>
      </c>
      <c r="X129" s="81"/>
      <c r="Y129" s="81" t="n">
        <v>207</v>
      </c>
      <c r="Z129" s="81"/>
      <c r="AA129" s="81" t="n">
        <v>199</v>
      </c>
      <c r="AB129" s="81"/>
      <c r="AC129" s="81" t="n">
        <v>203</v>
      </c>
      <c r="AD129" s="81"/>
      <c r="AE129" s="90" t="e">
        <f aca="false">+</f>
        <v>#N/A</v>
      </c>
      <c r="AF129" s="81"/>
      <c r="AG129" s="81" t="n">
        <f aca="false">150+41</f>
        <v>191</v>
      </c>
      <c r="AH129" s="81"/>
      <c r="AI129" s="81" t="n">
        <f aca="false">167+49</f>
        <v>216</v>
      </c>
      <c r="AJ129" s="81"/>
      <c r="AK129" s="81" t="n">
        <f aca="false">162+49</f>
        <v>211</v>
      </c>
      <c r="AL129" s="81"/>
      <c r="AM129" s="81" t="e">
        <f aca="false">O129+Q129+S129+U129+W129+Y129+AA129+AC129+AE129+AG129+AI129+AK129</f>
        <v>#N/A</v>
      </c>
    </row>
    <row collapsed="false" customFormat="false" customHeight="true" hidden="false" ht="16.2" outlineLevel="0" r="130">
      <c r="A130" s="80"/>
      <c r="B130" s="89"/>
      <c r="C130" s="85"/>
      <c r="D130" s="85"/>
      <c r="E130" s="83" t="s">
        <v>1037</v>
      </c>
      <c r="F130" s="84" t="s">
        <v>1036</v>
      </c>
      <c r="G130" s="85"/>
      <c r="H130" s="85"/>
      <c r="I130" s="85"/>
      <c r="J130" s="85"/>
      <c r="K130" s="86"/>
      <c r="L130" s="86"/>
      <c r="M130" s="90" t="n">
        <f aca="false">4268+2075+2676+2911</f>
        <v>11930</v>
      </c>
      <c r="N130" s="91" t="n">
        <f aca="false">2866+2744+5019+5035</f>
        <v>15664</v>
      </c>
      <c r="O130" s="90" t="n">
        <v>1986</v>
      </c>
      <c r="P130" s="90" t="s">
        <v>1005</v>
      </c>
      <c r="Q130" s="81" t="n">
        <v>1578</v>
      </c>
      <c r="R130" s="90" t="s">
        <v>1005</v>
      </c>
      <c r="S130" s="81" t="n">
        <v>1363</v>
      </c>
      <c r="T130" s="81" t="s">
        <v>1005</v>
      </c>
      <c r="U130" s="81" t="n">
        <v>1543</v>
      </c>
      <c r="V130" s="81" t="s">
        <v>1005</v>
      </c>
      <c r="W130" s="81" t="n">
        <v>1297</v>
      </c>
      <c r="X130" s="81" t="s">
        <v>1005</v>
      </c>
      <c r="Y130" s="81" t="n">
        <v>1190</v>
      </c>
      <c r="Z130" s="81" t="s">
        <v>1005</v>
      </c>
      <c r="AA130" s="81" t="n">
        <v>1400</v>
      </c>
      <c r="AB130" s="81" t="s">
        <v>1005</v>
      </c>
      <c r="AC130" s="81" t="n">
        <v>1375</v>
      </c>
      <c r="AD130" s="81" t="s">
        <v>1005</v>
      </c>
      <c r="AE130" s="90" t="e">
        <f aca="false">+++</f>
        <v>#N/A</v>
      </c>
      <c r="AF130" s="81" t="s">
        <v>1005</v>
      </c>
      <c r="AG130" s="81" t="n">
        <f aca="false">502+241+477+618</f>
        <v>1838</v>
      </c>
      <c r="AH130" s="81" t="s">
        <v>1005</v>
      </c>
      <c r="AI130" s="81" t="n">
        <f aca="false">519+239+747+705</f>
        <v>2210</v>
      </c>
      <c r="AJ130" s="81" t="s">
        <v>1005</v>
      </c>
      <c r="AK130" s="81" t="n">
        <f aca="false">476+217+762+622</f>
        <v>2077</v>
      </c>
      <c r="AL130" s="81" t="s">
        <v>1005</v>
      </c>
      <c r="AM130" s="81" t="e">
        <f aca="false">O130+Q130+S130+U130+W130+Y130+AA130+AC130+AE130+AG130+AI130+AK130</f>
        <v>#N/A</v>
      </c>
    </row>
    <row collapsed="false" customFormat="false" customHeight="true" hidden="false" ht="16.2" outlineLevel="0" r="131">
      <c r="A131" s="80" t="n">
        <v>61</v>
      </c>
      <c r="B131" s="81" t="s">
        <v>147</v>
      </c>
      <c r="C131" s="82" t="s">
        <v>1033</v>
      </c>
      <c r="D131" s="82" t="s">
        <v>1034</v>
      </c>
      <c r="E131" s="83" t="s">
        <v>1035</v>
      </c>
      <c r="F131" s="84" t="s">
        <v>1036</v>
      </c>
      <c r="G131" s="85"/>
      <c r="H131" s="85"/>
      <c r="I131" s="85"/>
      <c r="J131" s="85"/>
      <c r="K131" s="86" t="s">
        <v>53</v>
      </c>
      <c r="L131" s="86" t="s">
        <v>53</v>
      </c>
      <c r="M131" s="90"/>
      <c r="N131" s="90"/>
      <c r="O131" s="90"/>
      <c r="P131" s="90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90"/>
      <c r="AF131" s="81"/>
      <c r="AG131" s="81"/>
      <c r="AH131" s="81"/>
      <c r="AI131" s="81"/>
      <c r="AJ131" s="81"/>
      <c r="AK131" s="81"/>
      <c r="AL131" s="81"/>
      <c r="AM131" s="81" t="n">
        <f aca="false">O131+Q131+S131+U131+W131+Y131+AA131+AC131+AE131+AG131+AI131+AK131</f>
        <v>0</v>
      </c>
    </row>
    <row collapsed="false" customFormat="false" customHeight="true" hidden="false" ht="16.2" outlineLevel="0" r="132">
      <c r="A132" s="80"/>
      <c r="B132" s="89"/>
      <c r="C132" s="85"/>
      <c r="D132" s="85"/>
      <c r="E132" s="83" t="s">
        <v>1037</v>
      </c>
      <c r="F132" s="84" t="s">
        <v>1036</v>
      </c>
      <c r="G132" s="85"/>
      <c r="H132" s="85"/>
      <c r="I132" s="85"/>
      <c r="J132" s="85"/>
      <c r="K132" s="86"/>
      <c r="L132" s="86"/>
      <c r="M132" s="90" t="n">
        <f aca="false">1838+1495+2799+1266</f>
        <v>7398</v>
      </c>
      <c r="N132" s="91" t="n">
        <f aca="false">2624+1736+1958+1640</f>
        <v>7958</v>
      </c>
      <c r="O132" s="90" t="n">
        <v>783</v>
      </c>
      <c r="P132" s="90" t="s">
        <v>1005</v>
      </c>
      <c r="Q132" s="81" t="n">
        <v>589</v>
      </c>
      <c r="R132" s="90" t="s">
        <v>1005</v>
      </c>
      <c r="S132" s="81" t="n">
        <v>736</v>
      </c>
      <c r="T132" s="81" t="s">
        <v>1005</v>
      </c>
      <c r="U132" s="81" t="n">
        <v>641</v>
      </c>
      <c r="V132" s="81" t="s">
        <v>1005</v>
      </c>
      <c r="W132" s="81" t="n">
        <v>363</v>
      </c>
      <c r="X132" s="81" t="s">
        <v>1005</v>
      </c>
      <c r="Y132" s="81" t="n">
        <v>435</v>
      </c>
      <c r="Z132" s="81" t="s">
        <v>1005</v>
      </c>
      <c r="AA132" s="81" t="n">
        <v>497</v>
      </c>
      <c r="AB132" s="81" t="s">
        <v>1005</v>
      </c>
      <c r="AC132" s="81" t="n">
        <v>242</v>
      </c>
      <c r="AD132" s="81" t="s">
        <v>1005</v>
      </c>
      <c r="AE132" s="90" t="n">
        <f aca="false">162+189+114+86</f>
        <v>551</v>
      </c>
      <c r="AF132" s="81" t="s">
        <v>1005</v>
      </c>
      <c r="AG132" s="81" t="n">
        <f aca="false">271+221+219+200</f>
        <v>911</v>
      </c>
      <c r="AH132" s="81" t="s">
        <v>1005</v>
      </c>
      <c r="AI132" s="81" t="n">
        <f aca="false">348+235+507+291</f>
        <v>1381</v>
      </c>
      <c r="AJ132" s="81" t="s">
        <v>1005</v>
      </c>
      <c r="AK132" s="81" t="n">
        <f aca="false">389+244+495+241</f>
        <v>1369</v>
      </c>
      <c r="AL132" s="81" t="s">
        <v>1005</v>
      </c>
      <c r="AM132" s="81" t="n">
        <f aca="false">O132+Q132+S132+U132+W132+Y132+AA132+AC132+AE132+AG132+AI132+AK132</f>
        <v>8498</v>
      </c>
    </row>
    <row collapsed="false" customFormat="false" customHeight="true" hidden="false" ht="16.2" outlineLevel="0" r="133">
      <c r="A133" s="80" t="n">
        <v>62</v>
      </c>
      <c r="B133" s="81"/>
      <c r="C133" s="82" t="s">
        <v>1033</v>
      </c>
      <c r="D133" s="85"/>
      <c r="E133" s="83" t="s">
        <v>1035</v>
      </c>
      <c r="F133" s="49" t="s">
        <v>1036</v>
      </c>
      <c r="G133" s="85" t="s">
        <v>1039</v>
      </c>
      <c r="H133" s="85" t="n">
        <v>8</v>
      </c>
      <c r="I133" s="85" t="s">
        <v>1050</v>
      </c>
      <c r="J133" s="85" t="n">
        <v>8</v>
      </c>
      <c r="K133" s="85" t="s">
        <v>1041</v>
      </c>
      <c r="L133" s="85" t="s">
        <v>1041</v>
      </c>
      <c r="M133" s="81"/>
      <c r="N133" s="81"/>
      <c r="O133" s="96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</row>
    <row collapsed="false" customFormat="false" customHeight="true" hidden="false" ht="16.2" outlineLevel="0" r="134">
      <c r="A134" s="80"/>
      <c r="B134" s="81" t="s">
        <v>149</v>
      </c>
      <c r="C134" s="85"/>
      <c r="D134" s="85" t="s">
        <v>1038</v>
      </c>
      <c r="E134" s="83" t="s">
        <v>1037</v>
      </c>
      <c r="F134" s="49" t="s">
        <v>1036</v>
      </c>
      <c r="G134" s="85"/>
      <c r="H134" s="85"/>
      <c r="I134" s="85"/>
      <c r="J134" s="85"/>
      <c r="K134" s="85"/>
      <c r="L134" s="85"/>
      <c r="M134" s="81" t="n">
        <v>0</v>
      </c>
      <c r="N134" s="81"/>
      <c r="O134" s="96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</row>
    <row collapsed="false" customFormat="false" customHeight="true" hidden="false" ht="16.2" outlineLevel="0" r="135">
      <c r="A135" s="80" t="n">
        <v>63</v>
      </c>
      <c r="B135" s="81"/>
      <c r="C135" s="82" t="s">
        <v>1033</v>
      </c>
      <c r="D135" s="85"/>
      <c r="E135" s="83" t="s">
        <v>1035</v>
      </c>
      <c r="F135" s="49"/>
      <c r="G135" s="85"/>
      <c r="H135" s="85"/>
      <c r="I135" s="85"/>
      <c r="J135" s="85"/>
      <c r="K135" s="85"/>
      <c r="L135" s="85"/>
      <c r="M135" s="81"/>
      <c r="N135" s="81"/>
      <c r="O135" s="96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</row>
    <row collapsed="false" customFormat="false" customHeight="true" hidden="false" ht="16.2" outlineLevel="0" r="136">
      <c r="A136" s="80"/>
      <c r="B136" s="81" t="s">
        <v>150</v>
      </c>
      <c r="C136" s="85"/>
      <c r="D136" s="85" t="s">
        <v>1038</v>
      </c>
      <c r="E136" s="83" t="s">
        <v>1037</v>
      </c>
      <c r="F136" s="49" t="s">
        <v>1036</v>
      </c>
      <c r="G136" s="85" t="s">
        <v>1051</v>
      </c>
      <c r="H136" s="85" t="n">
        <v>25</v>
      </c>
      <c r="I136" s="85" t="s">
        <v>1050</v>
      </c>
      <c r="J136" s="85" t="n">
        <v>3</v>
      </c>
      <c r="K136" s="85" t="s">
        <v>1041</v>
      </c>
      <c r="L136" s="85" t="s">
        <v>1041</v>
      </c>
      <c r="M136" s="81" t="n">
        <v>0</v>
      </c>
      <c r="N136" s="81"/>
      <c r="O136" s="96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</row>
    <row collapsed="false" customFormat="false" customHeight="true" hidden="false" ht="16.2" outlineLevel="0" r="137">
      <c r="A137" s="80" t="n">
        <v>64</v>
      </c>
      <c r="B137" s="81"/>
      <c r="C137" s="82" t="s">
        <v>1033</v>
      </c>
      <c r="D137" s="85"/>
      <c r="E137" s="83" t="s">
        <v>1035</v>
      </c>
      <c r="F137" s="49" t="s">
        <v>1036</v>
      </c>
      <c r="G137" s="85"/>
      <c r="H137" s="85"/>
      <c r="I137" s="85"/>
      <c r="J137" s="85"/>
      <c r="K137" s="85"/>
      <c r="L137" s="85"/>
      <c r="M137" s="81" t="n">
        <v>455146</v>
      </c>
      <c r="N137" s="81"/>
      <c r="O137" s="96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</row>
    <row collapsed="false" customFormat="false" customHeight="true" hidden="false" ht="16.2" outlineLevel="0" r="138">
      <c r="A138" s="80"/>
      <c r="B138" s="81" t="s">
        <v>152</v>
      </c>
      <c r="C138" s="85"/>
      <c r="D138" s="85" t="s">
        <v>1038</v>
      </c>
      <c r="E138" s="83" t="s">
        <v>1037</v>
      </c>
      <c r="F138" s="49" t="s">
        <v>1036</v>
      </c>
      <c r="G138" s="85" t="s">
        <v>1051</v>
      </c>
      <c r="H138" s="85" t="n">
        <v>72</v>
      </c>
      <c r="I138" s="85" t="s">
        <v>1046</v>
      </c>
      <c r="J138" s="85" t="n">
        <v>2</v>
      </c>
      <c r="K138" s="85" t="s">
        <v>1041</v>
      </c>
      <c r="L138" s="85" t="s">
        <v>1041</v>
      </c>
      <c r="M138" s="81" t="n">
        <v>455146</v>
      </c>
      <c r="N138" s="81"/>
      <c r="O138" s="96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</row>
    <row collapsed="false" customFormat="false" customHeight="true" hidden="false" ht="16.2" outlineLevel="0" r="139">
      <c r="A139" s="80" t="n">
        <v>65</v>
      </c>
      <c r="B139" s="81"/>
      <c r="C139" s="82" t="s">
        <v>1033</v>
      </c>
      <c r="D139" s="85"/>
      <c r="E139" s="83" t="s">
        <v>1035</v>
      </c>
      <c r="F139" s="49" t="s">
        <v>1036</v>
      </c>
      <c r="G139" s="85"/>
      <c r="H139" s="85"/>
      <c r="I139" s="85"/>
      <c r="J139" s="85"/>
      <c r="K139" s="85"/>
      <c r="L139" s="85"/>
      <c r="M139" s="81" t="n">
        <v>11364</v>
      </c>
      <c r="N139" s="81"/>
      <c r="O139" s="96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</row>
    <row collapsed="false" customFormat="false" customHeight="true" hidden="false" ht="16.2" outlineLevel="0" r="140">
      <c r="A140" s="80"/>
      <c r="B140" s="81" t="s">
        <v>153</v>
      </c>
      <c r="C140" s="85"/>
      <c r="D140" s="85" t="s">
        <v>1038</v>
      </c>
      <c r="E140" s="83" t="s">
        <v>1037</v>
      </c>
      <c r="F140" s="49" t="s">
        <v>1036</v>
      </c>
      <c r="G140" s="85" t="s">
        <v>1051</v>
      </c>
      <c r="H140" s="85" t="n">
        <v>110</v>
      </c>
      <c r="I140" s="85" t="s">
        <v>1046</v>
      </c>
      <c r="J140" s="85" t="n">
        <v>3</v>
      </c>
      <c r="K140" s="85" t="s">
        <v>1041</v>
      </c>
      <c r="L140" s="85" t="s">
        <v>1041</v>
      </c>
      <c r="M140" s="81" t="n">
        <v>11364</v>
      </c>
      <c r="N140" s="81"/>
      <c r="O140" s="96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</row>
    <row collapsed="false" customFormat="false" customHeight="true" hidden="false" ht="16.2" outlineLevel="0" r="141">
      <c r="A141" s="80" t="n">
        <v>66</v>
      </c>
      <c r="B141" s="81"/>
      <c r="C141" s="82" t="s">
        <v>1033</v>
      </c>
      <c r="D141" s="85"/>
      <c r="E141" s="83" t="s">
        <v>1035</v>
      </c>
      <c r="F141" s="49" t="s">
        <v>1036</v>
      </c>
      <c r="G141" s="85"/>
      <c r="H141" s="85"/>
      <c r="I141" s="85"/>
      <c r="J141" s="85"/>
      <c r="K141" s="85"/>
      <c r="L141" s="85"/>
      <c r="M141" s="81" t="n">
        <v>15717</v>
      </c>
      <c r="N141" s="81"/>
      <c r="O141" s="96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</row>
    <row collapsed="false" customFormat="false" customHeight="true" hidden="false" ht="16.2" outlineLevel="0" r="142">
      <c r="A142" s="80"/>
      <c r="B142" s="81" t="s">
        <v>154</v>
      </c>
      <c r="C142" s="85"/>
      <c r="D142" s="85" t="s">
        <v>1038</v>
      </c>
      <c r="E142" s="83" t="s">
        <v>1037</v>
      </c>
      <c r="F142" s="49" t="s">
        <v>1036</v>
      </c>
      <c r="G142" s="85" t="s">
        <v>1051</v>
      </c>
      <c r="H142" s="85" t="n">
        <v>72</v>
      </c>
      <c r="I142" s="85" t="s">
        <v>1046</v>
      </c>
      <c r="J142" s="85" t="n">
        <v>3</v>
      </c>
      <c r="K142" s="85" t="s">
        <v>1041</v>
      </c>
      <c r="L142" s="85" t="s">
        <v>1041</v>
      </c>
      <c r="M142" s="81" t="n">
        <v>15717</v>
      </c>
      <c r="N142" s="81"/>
      <c r="O142" s="96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</row>
    <row collapsed="false" customFormat="false" customHeight="true" hidden="false" ht="16.2" outlineLevel="0" r="143">
      <c r="A143" s="80" t="n">
        <v>67</v>
      </c>
      <c r="B143" s="81"/>
      <c r="C143" s="82" t="s">
        <v>1033</v>
      </c>
      <c r="D143" s="85"/>
      <c r="E143" s="83" t="s">
        <v>1035</v>
      </c>
      <c r="F143" s="49" t="s">
        <v>1036</v>
      </c>
      <c r="G143" s="85"/>
      <c r="H143" s="85"/>
      <c r="I143" s="85"/>
      <c r="J143" s="85"/>
      <c r="K143" s="85"/>
      <c r="L143" s="85"/>
      <c r="M143" s="81" t="n">
        <v>12624</v>
      </c>
      <c r="N143" s="81"/>
      <c r="O143" s="96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</row>
    <row collapsed="false" customFormat="false" customHeight="true" hidden="false" ht="16.2" outlineLevel="0" r="144">
      <c r="A144" s="80"/>
      <c r="B144" s="81" t="s">
        <v>155</v>
      </c>
      <c r="C144" s="85"/>
      <c r="D144" s="85" t="s">
        <v>1038</v>
      </c>
      <c r="E144" s="83" t="s">
        <v>1037</v>
      </c>
      <c r="F144" s="49" t="s">
        <v>1036</v>
      </c>
      <c r="G144" s="85" t="s">
        <v>1051</v>
      </c>
      <c r="H144" s="85" t="n">
        <v>112</v>
      </c>
      <c r="I144" s="85" t="s">
        <v>1046</v>
      </c>
      <c r="J144" s="85" t="n">
        <v>3</v>
      </c>
      <c r="K144" s="85" t="s">
        <v>1041</v>
      </c>
      <c r="L144" s="85" t="s">
        <v>1041</v>
      </c>
      <c r="M144" s="81" t="n">
        <v>12624</v>
      </c>
      <c r="N144" s="81"/>
      <c r="O144" s="96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</row>
    <row collapsed="false" customFormat="false" customHeight="true" hidden="false" ht="16.2" outlineLevel="0" r="145">
      <c r="A145" s="80" t="n">
        <v>68</v>
      </c>
      <c r="B145" s="81"/>
      <c r="C145" s="82" t="s">
        <v>1033</v>
      </c>
      <c r="D145" s="85"/>
      <c r="E145" s="83" t="s">
        <v>1035</v>
      </c>
      <c r="F145" s="49" t="s">
        <v>1036</v>
      </c>
      <c r="G145" s="85"/>
      <c r="H145" s="85"/>
      <c r="I145" s="85"/>
      <c r="J145" s="85"/>
      <c r="K145" s="85"/>
      <c r="L145" s="85"/>
      <c r="M145" s="81"/>
      <c r="N145" s="81"/>
      <c r="O145" s="96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</row>
    <row collapsed="false" customFormat="false" customHeight="true" hidden="false" ht="16.2" outlineLevel="0" r="146">
      <c r="A146" s="80"/>
      <c r="B146" s="81" t="s">
        <v>156</v>
      </c>
      <c r="C146" s="85"/>
      <c r="D146" s="85" t="s">
        <v>1038</v>
      </c>
      <c r="E146" s="83" t="s">
        <v>1037</v>
      </c>
      <c r="F146" s="49" t="s">
        <v>1036</v>
      </c>
      <c r="G146" s="85" t="s">
        <v>1051</v>
      </c>
      <c r="H146" s="85" t="n">
        <v>71</v>
      </c>
      <c r="I146" s="85" t="s">
        <v>1039</v>
      </c>
      <c r="J146" s="85" t="n">
        <v>2</v>
      </c>
      <c r="K146" s="85" t="s">
        <v>1041</v>
      </c>
      <c r="L146" s="85" t="s">
        <v>1041</v>
      </c>
      <c r="M146" s="81" t="n">
        <v>3174</v>
      </c>
      <c r="N146" s="81"/>
      <c r="O146" s="96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</row>
    <row collapsed="false" customFormat="false" customHeight="true" hidden="false" ht="16.2" outlineLevel="0" r="147">
      <c r="A147" s="80" t="n">
        <v>69</v>
      </c>
      <c r="B147" s="81"/>
      <c r="C147" s="82" t="s">
        <v>1033</v>
      </c>
      <c r="D147" s="85"/>
      <c r="E147" s="83" t="s">
        <v>1035</v>
      </c>
      <c r="F147" s="49" t="s">
        <v>1036</v>
      </c>
      <c r="G147" s="85"/>
      <c r="H147" s="85"/>
      <c r="I147" s="85"/>
      <c r="J147" s="85"/>
      <c r="K147" s="85"/>
      <c r="L147" s="85"/>
      <c r="M147" s="81"/>
      <c r="N147" s="81"/>
      <c r="O147" s="96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</row>
    <row collapsed="false" customFormat="false" customHeight="true" hidden="false" ht="16.2" outlineLevel="0" r="148">
      <c r="A148" s="80"/>
      <c r="B148" s="81" t="s">
        <v>157</v>
      </c>
      <c r="C148" s="85"/>
      <c r="D148" s="85" t="s">
        <v>1038</v>
      </c>
      <c r="E148" s="83" t="s">
        <v>1037</v>
      </c>
      <c r="F148" s="49" t="s">
        <v>1036</v>
      </c>
      <c r="G148" s="85" t="s">
        <v>1042</v>
      </c>
      <c r="H148" s="85" t="n">
        <v>58</v>
      </c>
      <c r="I148" s="85" t="s">
        <v>1040</v>
      </c>
      <c r="J148" s="85" t="n">
        <v>2</v>
      </c>
      <c r="K148" s="85" t="s">
        <v>1041</v>
      </c>
      <c r="L148" s="85" t="s">
        <v>1041</v>
      </c>
      <c r="M148" s="81" t="n">
        <v>10080</v>
      </c>
      <c r="N148" s="81"/>
      <c r="O148" s="96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</row>
    <row collapsed="false" customFormat="false" customHeight="true" hidden="false" ht="16.2" outlineLevel="0" r="149">
      <c r="A149" s="80" t="n">
        <v>70</v>
      </c>
      <c r="B149" s="81"/>
      <c r="C149" s="82" t="s">
        <v>1033</v>
      </c>
      <c r="D149" s="85"/>
      <c r="E149" s="83" t="s">
        <v>1035</v>
      </c>
      <c r="F149" s="49" t="s">
        <v>1036</v>
      </c>
      <c r="G149" s="85"/>
      <c r="H149" s="85"/>
      <c r="I149" s="85"/>
      <c r="J149" s="85"/>
      <c r="K149" s="85"/>
      <c r="L149" s="85"/>
      <c r="M149" s="81"/>
      <c r="N149" s="81"/>
      <c r="O149" s="96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</row>
    <row collapsed="false" customFormat="false" customHeight="true" hidden="false" ht="16.2" outlineLevel="0" r="150">
      <c r="A150" s="80"/>
      <c r="B150" s="81" t="s">
        <v>158</v>
      </c>
      <c r="C150" s="85"/>
      <c r="D150" s="85" t="s">
        <v>1038</v>
      </c>
      <c r="E150" s="83" t="s">
        <v>1037</v>
      </c>
      <c r="F150" s="49" t="s">
        <v>1036</v>
      </c>
      <c r="G150" s="85" t="s">
        <v>1042</v>
      </c>
      <c r="H150" s="85" t="n">
        <v>58</v>
      </c>
      <c r="I150" s="85" t="s">
        <v>1040</v>
      </c>
      <c r="J150" s="85" t="n">
        <v>3</v>
      </c>
      <c r="K150" s="85" t="s">
        <v>1041</v>
      </c>
      <c r="L150" s="85" t="s">
        <v>1041</v>
      </c>
      <c r="M150" s="81" t="n">
        <v>0</v>
      </c>
      <c r="N150" s="81"/>
      <c r="O150" s="96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</row>
    <row collapsed="false" customFormat="false" customHeight="true" hidden="false" ht="16.2" outlineLevel="0" r="151">
      <c r="A151" s="80" t="n">
        <v>71</v>
      </c>
      <c r="B151" s="81"/>
      <c r="C151" s="82" t="s">
        <v>1033</v>
      </c>
      <c r="D151" s="85"/>
      <c r="E151" s="83" t="s">
        <v>1035</v>
      </c>
      <c r="F151" s="49" t="s">
        <v>1036</v>
      </c>
      <c r="G151" s="85"/>
      <c r="H151" s="85"/>
      <c r="I151" s="85"/>
      <c r="J151" s="85"/>
      <c r="K151" s="85"/>
      <c r="L151" s="85"/>
      <c r="M151" s="81"/>
      <c r="N151" s="81"/>
      <c r="O151" s="96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</row>
    <row collapsed="false" customFormat="false" customHeight="true" hidden="false" ht="16.2" outlineLevel="0" r="152">
      <c r="A152" s="80"/>
      <c r="B152" s="81" t="s">
        <v>159</v>
      </c>
      <c r="C152" s="85"/>
      <c r="D152" s="85" t="s">
        <v>1038</v>
      </c>
      <c r="E152" s="83" t="s">
        <v>1037</v>
      </c>
      <c r="F152" s="49" t="s">
        <v>1036</v>
      </c>
      <c r="G152" s="85" t="s">
        <v>1042</v>
      </c>
      <c r="H152" s="85" t="n">
        <v>52</v>
      </c>
      <c r="I152" s="85" t="s">
        <v>1040</v>
      </c>
      <c r="J152" s="85" t="n">
        <v>2</v>
      </c>
      <c r="K152" s="85" t="s">
        <v>1041</v>
      </c>
      <c r="L152" s="85" t="s">
        <v>1041</v>
      </c>
      <c r="M152" s="81" t="n">
        <v>0</v>
      </c>
      <c r="N152" s="81"/>
      <c r="O152" s="96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</row>
    <row collapsed="false" customFormat="false" customHeight="true" hidden="false" ht="16.2" outlineLevel="0" r="153">
      <c r="A153" s="80" t="n">
        <v>72</v>
      </c>
      <c r="B153" s="81"/>
      <c r="C153" s="82" t="s">
        <v>1033</v>
      </c>
      <c r="D153" s="85"/>
      <c r="E153" s="83" t="s">
        <v>1035</v>
      </c>
      <c r="F153" s="49" t="s">
        <v>1036</v>
      </c>
      <c r="G153" s="85"/>
      <c r="H153" s="85"/>
      <c r="I153" s="85"/>
      <c r="J153" s="85"/>
      <c r="K153" s="85"/>
      <c r="L153" s="85"/>
      <c r="M153" s="81" t="n">
        <v>5199</v>
      </c>
      <c r="N153" s="81"/>
      <c r="O153" s="96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</row>
    <row collapsed="false" customFormat="false" customHeight="true" hidden="false" ht="16.2" outlineLevel="0" r="154">
      <c r="A154" s="80"/>
      <c r="B154" s="81" t="s">
        <v>160</v>
      </c>
      <c r="C154" s="85"/>
      <c r="D154" s="85" t="s">
        <v>1038</v>
      </c>
      <c r="E154" s="83" t="s">
        <v>1037</v>
      </c>
      <c r="F154" s="49" t="s">
        <v>1036</v>
      </c>
      <c r="G154" s="85" t="s">
        <v>1042</v>
      </c>
      <c r="H154" s="85" t="n">
        <v>58</v>
      </c>
      <c r="I154" s="85" t="s">
        <v>1040</v>
      </c>
      <c r="J154" s="85" t="n">
        <v>2</v>
      </c>
      <c r="K154" s="85" t="s">
        <v>1041</v>
      </c>
      <c r="L154" s="85" t="s">
        <v>1041</v>
      </c>
      <c r="M154" s="81" t="n">
        <v>5199</v>
      </c>
      <c r="N154" s="81"/>
      <c r="O154" s="96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</row>
    <row collapsed="false" customFormat="false" customHeight="true" hidden="false" ht="16.2" outlineLevel="0" r="155">
      <c r="A155" s="80" t="n">
        <v>73</v>
      </c>
      <c r="B155" s="81"/>
      <c r="C155" s="82" t="s">
        <v>1033</v>
      </c>
      <c r="D155" s="85"/>
      <c r="E155" s="83" t="s">
        <v>1035</v>
      </c>
      <c r="F155" s="49" t="s">
        <v>1036</v>
      </c>
      <c r="G155" s="85"/>
      <c r="H155" s="85"/>
      <c r="I155" s="85"/>
      <c r="J155" s="85"/>
      <c r="K155" s="85"/>
      <c r="L155" s="85"/>
      <c r="M155" s="81"/>
      <c r="N155" s="81"/>
      <c r="O155" s="96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</row>
    <row collapsed="false" customFormat="false" customHeight="true" hidden="false" ht="16.2" outlineLevel="0" r="156">
      <c r="A156" s="80"/>
      <c r="B156" s="81" t="s">
        <v>161</v>
      </c>
      <c r="C156" s="85"/>
      <c r="D156" s="85" t="s">
        <v>1038</v>
      </c>
      <c r="E156" s="83" t="s">
        <v>1037</v>
      </c>
      <c r="F156" s="49" t="s">
        <v>1036</v>
      </c>
      <c r="G156" s="85" t="s">
        <v>1042</v>
      </c>
      <c r="H156" s="85" t="n">
        <v>72</v>
      </c>
      <c r="I156" s="85" t="s">
        <v>1040</v>
      </c>
      <c r="J156" s="85" t="n">
        <v>2</v>
      </c>
      <c r="K156" s="85" t="s">
        <v>1041</v>
      </c>
      <c r="L156" s="85" t="s">
        <v>1041</v>
      </c>
      <c r="M156" s="81" t="n">
        <v>14058</v>
      </c>
      <c r="N156" s="81"/>
      <c r="O156" s="96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</row>
    <row collapsed="false" customFormat="false" customHeight="true" hidden="false" ht="16.2" outlineLevel="0" r="157">
      <c r="A157" s="80" t="n">
        <v>74</v>
      </c>
      <c r="B157" s="81"/>
      <c r="C157" s="82" t="s">
        <v>1033</v>
      </c>
      <c r="D157" s="85"/>
      <c r="E157" s="83" t="s">
        <v>1035</v>
      </c>
      <c r="F157" s="49" t="s">
        <v>1036</v>
      </c>
      <c r="G157" s="85"/>
      <c r="H157" s="85"/>
      <c r="I157" s="85"/>
      <c r="J157" s="85"/>
      <c r="K157" s="85"/>
      <c r="L157" s="85"/>
      <c r="M157" s="81"/>
      <c r="N157" s="81"/>
      <c r="O157" s="96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</row>
    <row collapsed="false" customFormat="false" customHeight="true" hidden="false" ht="16.2" outlineLevel="0" r="158">
      <c r="A158" s="80"/>
      <c r="B158" s="81" t="s">
        <v>162</v>
      </c>
      <c r="C158" s="85"/>
      <c r="D158" s="85" t="s">
        <v>1038</v>
      </c>
      <c r="E158" s="83" t="s">
        <v>1037</v>
      </c>
      <c r="F158" s="49" t="s">
        <v>1036</v>
      </c>
      <c r="G158" s="85" t="s">
        <v>1052</v>
      </c>
      <c r="H158" s="85" t="n">
        <v>56</v>
      </c>
      <c r="I158" s="85" t="s">
        <v>1040</v>
      </c>
      <c r="J158" s="85" t="n">
        <v>2</v>
      </c>
      <c r="K158" s="85" t="s">
        <v>1041</v>
      </c>
      <c r="L158" s="85" t="s">
        <v>1041</v>
      </c>
      <c r="M158" s="81" t="n">
        <v>4524</v>
      </c>
      <c r="N158" s="81"/>
      <c r="O158" s="96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</row>
    <row collapsed="false" customFormat="false" customHeight="true" hidden="false" ht="16.2" outlineLevel="0" r="159">
      <c r="A159" s="80" t="n">
        <v>75</v>
      </c>
      <c r="B159" s="81"/>
      <c r="C159" s="82" t="s">
        <v>1033</v>
      </c>
      <c r="D159" s="85"/>
      <c r="E159" s="83" t="s">
        <v>1035</v>
      </c>
      <c r="F159" s="49" t="s">
        <v>1036</v>
      </c>
      <c r="G159" s="85"/>
      <c r="H159" s="85"/>
      <c r="I159" s="85"/>
      <c r="J159" s="85"/>
      <c r="K159" s="85"/>
      <c r="L159" s="85"/>
      <c r="M159" s="81" t="n">
        <v>5139</v>
      </c>
      <c r="N159" s="81"/>
      <c r="O159" s="96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</row>
    <row collapsed="false" customFormat="false" customHeight="true" hidden="false" ht="16.2" outlineLevel="0" r="160">
      <c r="A160" s="80"/>
      <c r="B160" s="81" t="s">
        <v>163</v>
      </c>
      <c r="C160" s="85"/>
      <c r="D160" s="85" t="s">
        <v>1038</v>
      </c>
      <c r="E160" s="83" t="s">
        <v>1037</v>
      </c>
      <c r="F160" s="49" t="s">
        <v>1036</v>
      </c>
      <c r="G160" s="85" t="s">
        <v>1042</v>
      </c>
      <c r="H160" s="85" t="n">
        <v>58</v>
      </c>
      <c r="I160" s="85" t="s">
        <v>1040</v>
      </c>
      <c r="J160" s="85" t="n">
        <v>2</v>
      </c>
      <c r="K160" s="85" t="s">
        <v>1041</v>
      </c>
      <c r="L160" s="85" t="s">
        <v>1041</v>
      </c>
      <c r="M160" s="81" t="n">
        <v>5139</v>
      </c>
      <c r="N160" s="81"/>
      <c r="O160" s="96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</row>
    <row collapsed="false" customFormat="false" customHeight="true" hidden="false" ht="16.2" outlineLevel="0" r="161">
      <c r="A161" s="80" t="n">
        <v>76</v>
      </c>
      <c r="B161" s="81"/>
      <c r="C161" s="82" t="s">
        <v>1033</v>
      </c>
      <c r="D161" s="85"/>
      <c r="E161" s="83" t="s">
        <v>1035</v>
      </c>
      <c r="F161" s="49" t="s">
        <v>1036</v>
      </c>
      <c r="G161" s="85"/>
      <c r="H161" s="85"/>
      <c r="I161" s="85"/>
      <c r="J161" s="85"/>
      <c r="K161" s="85"/>
      <c r="L161" s="85"/>
      <c r="M161" s="81" t="n">
        <v>7521</v>
      </c>
      <c r="N161" s="81"/>
      <c r="O161" s="96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</row>
    <row collapsed="false" customFormat="false" customHeight="true" hidden="false" ht="16.2" outlineLevel="0" r="162">
      <c r="A162" s="80"/>
      <c r="B162" s="81" t="s">
        <v>164</v>
      </c>
      <c r="C162" s="85"/>
      <c r="D162" s="85" t="s">
        <v>1038</v>
      </c>
      <c r="E162" s="83" t="s">
        <v>1037</v>
      </c>
      <c r="F162" s="49" t="s">
        <v>1036</v>
      </c>
      <c r="G162" s="85" t="s">
        <v>1042</v>
      </c>
      <c r="H162" s="85" t="n">
        <v>65</v>
      </c>
      <c r="I162" s="85" t="s">
        <v>1040</v>
      </c>
      <c r="J162" s="85" t="n">
        <v>3</v>
      </c>
      <c r="K162" s="85" t="s">
        <v>1041</v>
      </c>
      <c r="L162" s="85" t="s">
        <v>1041</v>
      </c>
      <c r="M162" s="81" t="n">
        <v>7521</v>
      </c>
      <c r="N162" s="81"/>
      <c r="O162" s="96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</row>
    <row collapsed="false" customFormat="false" customHeight="true" hidden="false" ht="16.2" outlineLevel="0" r="163">
      <c r="A163" s="80" t="n">
        <v>77</v>
      </c>
      <c r="B163" s="81"/>
      <c r="C163" s="82" t="s">
        <v>1033</v>
      </c>
      <c r="D163" s="85"/>
      <c r="E163" s="83" t="s">
        <v>1035</v>
      </c>
      <c r="F163" s="49" t="s">
        <v>1036</v>
      </c>
      <c r="G163" s="85"/>
      <c r="H163" s="85"/>
      <c r="I163" s="85"/>
      <c r="J163" s="85"/>
      <c r="K163" s="85"/>
      <c r="L163" s="85"/>
      <c r="M163" s="81"/>
      <c r="N163" s="81"/>
      <c r="O163" s="96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</row>
    <row collapsed="false" customFormat="false" customHeight="true" hidden="false" ht="16.2" outlineLevel="0" r="164">
      <c r="A164" s="80"/>
      <c r="B164" s="81" t="s">
        <v>165</v>
      </c>
      <c r="C164" s="85"/>
      <c r="D164" s="85" t="s">
        <v>1038</v>
      </c>
      <c r="E164" s="83" t="s">
        <v>1037</v>
      </c>
      <c r="F164" s="49" t="s">
        <v>1036</v>
      </c>
      <c r="G164" s="85"/>
      <c r="H164" s="85"/>
      <c r="I164" s="85"/>
      <c r="J164" s="85"/>
      <c r="K164" s="85"/>
      <c r="L164" s="85"/>
      <c r="M164" s="81" t="n">
        <v>5076</v>
      </c>
      <c r="N164" s="81"/>
      <c r="O164" s="96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</row>
    <row collapsed="false" customFormat="false" customHeight="true" hidden="false" ht="16.2" outlineLevel="0" r="165">
      <c r="A165" s="80" t="n">
        <v>78</v>
      </c>
      <c r="B165" s="81"/>
      <c r="C165" s="82" t="s">
        <v>1033</v>
      </c>
      <c r="D165" s="85"/>
      <c r="E165" s="83" t="s">
        <v>1035</v>
      </c>
      <c r="F165" s="49" t="s">
        <v>1036</v>
      </c>
      <c r="G165" s="85"/>
      <c r="H165" s="85"/>
      <c r="I165" s="85"/>
      <c r="J165" s="85"/>
      <c r="K165" s="85"/>
      <c r="L165" s="85"/>
      <c r="M165" s="81"/>
      <c r="N165" s="81"/>
      <c r="O165" s="96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</row>
    <row collapsed="false" customFormat="false" customHeight="true" hidden="false" ht="16.2" outlineLevel="0" r="166">
      <c r="A166" s="80"/>
      <c r="B166" s="81" t="s">
        <v>166</v>
      </c>
      <c r="C166" s="85"/>
      <c r="D166" s="85" t="s">
        <v>1038</v>
      </c>
      <c r="E166" s="83" t="s">
        <v>1037</v>
      </c>
      <c r="F166" s="49" t="s">
        <v>1036</v>
      </c>
      <c r="G166" s="85"/>
      <c r="H166" s="85"/>
      <c r="I166" s="85"/>
      <c r="J166" s="85"/>
      <c r="K166" s="85"/>
      <c r="L166" s="85"/>
      <c r="M166" s="81" t="s">
        <v>1053</v>
      </c>
      <c r="N166" s="81"/>
      <c r="O166" s="96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</row>
    <row collapsed="false" customFormat="false" customHeight="true" hidden="false" ht="16.2" outlineLevel="0" r="167">
      <c r="A167" s="80" t="n">
        <v>79</v>
      </c>
      <c r="B167" s="81"/>
      <c r="C167" s="82" t="s">
        <v>1033</v>
      </c>
      <c r="D167" s="85"/>
      <c r="E167" s="83" t="s">
        <v>1035</v>
      </c>
      <c r="F167" s="49" t="s">
        <v>1036</v>
      </c>
      <c r="G167" s="85"/>
      <c r="H167" s="85"/>
      <c r="I167" s="85"/>
      <c r="J167" s="85"/>
      <c r="K167" s="85"/>
      <c r="L167" s="85"/>
      <c r="M167" s="81" t="n">
        <v>2565</v>
      </c>
      <c r="N167" s="81"/>
      <c r="O167" s="96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</row>
    <row collapsed="false" customFormat="false" customHeight="true" hidden="false" ht="16.2" outlineLevel="0" r="168">
      <c r="A168" s="80"/>
      <c r="B168" s="81" t="s">
        <v>167</v>
      </c>
      <c r="C168" s="85"/>
      <c r="D168" s="85" t="s">
        <v>1038</v>
      </c>
      <c r="E168" s="83" t="s">
        <v>1037</v>
      </c>
      <c r="F168" s="49" t="s">
        <v>1036</v>
      </c>
      <c r="G168" s="85" t="s">
        <v>1052</v>
      </c>
      <c r="H168" s="85" t="n">
        <v>32</v>
      </c>
      <c r="I168" s="85" t="s">
        <v>1040</v>
      </c>
      <c r="J168" s="85" t="n">
        <v>2</v>
      </c>
      <c r="K168" s="85" t="s">
        <v>1041</v>
      </c>
      <c r="L168" s="85" t="s">
        <v>1041</v>
      </c>
      <c r="M168" s="81" t="n">
        <v>2565</v>
      </c>
      <c r="N168" s="81"/>
      <c r="O168" s="96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</row>
    <row collapsed="false" customFormat="false" customHeight="true" hidden="false" ht="16.2" outlineLevel="0" r="169">
      <c r="A169" s="80" t="n">
        <v>80</v>
      </c>
      <c r="B169" s="81"/>
      <c r="C169" s="82" t="s">
        <v>1033</v>
      </c>
      <c r="D169" s="85"/>
      <c r="E169" s="83" t="s">
        <v>1035</v>
      </c>
      <c r="F169" s="49" t="s">
        <v>1036</v>
      </c>
      <c r="G169" s="85"/>
      <c r="H169" s="85"/>
      <c r="I169" s="85"/>
      <c r="J169" s="85"/>
      <c r="K169" s="85"/>
      <c r="L169" s="85"/>
      <c r="M169" s="81" t="n">
        <v>7494</v>
      </c>
      <c r="N169" s="81"/>
      <c r="O169" s="96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</row>
    <row collapsed="false" customFormat="false" customHeight="true" hidden="false" ht="16.2" outlineLevel="0" r="170">
      <c r="A170" s="80"/>
      <c r="B170" s="81" t="s">
        <v>168</v>
      </c>
      <c r="C170" s="85"/>
      <c r="D170" s="85" t="s">
        <v>1038</v>
      </c>
      <c r="E170" s="83" t="s">
        <v>1037</v>
      </c>
      <c r="F170" s="49" t="s">
        <v>1036</v>
      </c>
      <c r="G170" s="85" t="s">
        <v>1042</v>
      </c>
      <c r="H170" s="85" t="n">
        <v>56</v>
      </c>
      <c r="I170" s="85" t="s">
        <v>1040</v>
      </c>
      <c r="J170" s="85" t="n">
        <v>3</v>
      </c>
      <c r="K170" s="85" t="s">
        <v>1041</v>
      </c>
      <c r="L170" s="85" t="s">
        <v>1041</v>
      </c>
      <c r="M170" s="81" t="n">
        <v>7494</v>
      </c>
      <c r="N170" s="81"/>
      <c r="O170" s="96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</row>
    <row collapsed="false" customFormat="false" customHeight="true" hidden="false" ht="16.2" outlineLevel="0" r="171">
      <c r="A171" s="80" t="n">
        <v>81</v>
      </c>
      <c r="B171" s="81"/>
      <c r="C171" s="82" t="s">
        <v>1033</v>
      </c>
      <c r="D171" s="85"/>
      <c r="E171" s="83" t="s">
        <v>1035</v>
      </c>
      <c r="F171" s="49" t="s">
        <v>1036</v>
      </c>
      <c r="G171" s="85"/>
      <c r="H171" s="85"/>
      <c r="I171" s="85"/>
      <c r="J171" s="85"/>
      <c r="K171" s="85"/>
      <c r="L171" s="85"/>
      <c r="M171" s="81" t="n">
        <v>14055</v>
      </c>
      <c r="N171" s="81"/>
      <c r="O171" s="96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</row>
    <row collapsed="false" customFormat="false" customHeight="true" hidden="false" ht="16.2" outlineLevel="0" r="172">
      <c r="A172" s="80"/>
      <c r="B172" s="81" t="s">
        <v>169</v>
      </c>
      <c r="C172" s="85"/>
      <c r="D172" s="85" t="s">
        <v>1038</v>
      </c>
      <c r="E172" s="83" t="s">
        <v>1037</v>
      </c>
      <c r="F172" s="49" t="s">
        <v>1036</v>
      </c>
      <c r="G172" s="85" t="s">
        <v>1042</v>
      </c>
      <c r="H172" s="85" t="n">
        <v>54</v>
      </c>
      <c r="I172" s="85" t="s">
        <v>1046</v>
      </c>
      <c r="J172" s="85" t="n">
        <v>3</v>
      </c>
      <c r="K172" s="85" t="s">
        <v>1041</v>
      </c>
      <c r="L172" s="85" t="s">
        <v>1041</v>
      </c>
      <c r="M172" s="81" t="n">
        <v>14055</v>
      </c>
      <c r="N172" s="81"/>
      <c r="O172" s="96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</row>
    <row collapsed="false" customFormat="false" customHeight="true" hidden="false" ht="16.2" outlineLevel="0" r="173">
      <c r="A173" s="80" t="n">
        <v>82</v>
      </c>
      <c r="B173" s="81"/>
      <c r="C173" s="82" t="s">
        <v>1033</v>
      </c>
      <c r="D173" s="85"/>
      <c r="E173" s="83" t="s">
        <v>1035</v>
      </c>
      <c r="F173" s="49" t="s">
        <v>1036</v>
      </c>
      <c r="G173" s="85"/>
      <c r="H173" s="85"/>
      <c r="I173" s="85"/>
      <c r="J173" s="85"/>
      <c r="K173" s="85"/>
      <c r="L173" s="85"/>
      <c r="M173" s="81" t="n">
        <v>22161</v>
      </c>
      <c r="N173" s="81"/>
      <c r="O173" s="96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</row>
    <row collapsed="false" customFormat="false" customHeight="true" hidden="false" ht="16.2" outlineLevel="0" r="174">
      <c r="A174" s="80"/>
      <c r="B174" s="81" t="s">
        <v>170</v>
      </c>
      <c r="C174" s="85"/>
      <c r="D174" s="85" t="s">
        <v>1054</v>
      </c>
      <c r="E174" s="83" t="s">
        <v>1037</v>
      </c>
      <c r="F174" s="49" t="s">
        <v>1036</v>
      </c>
      <c r="G174" s="85" t="s">
        <v>1042</v>
      </c>
      <c r="H174" s="85" t="n">
        <v>69</v>
      </c>
      <c r="I174" s="85" t="s">
        <v>1046</v>
      </c>
      <c r="J174" s="85" t="n">
        <v>3</v>
      </c>
      <c r="K174" s="85" t="s">
        <v>1041</v>
      </c>
      <c r="L174" s="85" t="s">
        <v>1041</v>
      </c>
      <c r="M174" s="81" t="n">
        <v>22161</v>
      </c>
      <c r="N174" s="81"/>
      <c r="O174" s="96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</row>
    <row collapsed="false" customFormat="false" customHeight="true" hidden="false" ht="16.2" outlineLevel="0" r="175">
      <c r="A175" s="80" t="n">
        <v>83</v>
      </c>
      <c r="B175" s="81"/>
      <c r="C175" s="82" t="s">
        <v>1033</v>
      </c>
      <c r="D175" s="85"/>
      <c r="E175" s="83" t="s">
        <v>1035</v>
      </c>
      <c r="F175" s="49" t="s">
        <v>1036</v>
      </c>
      <c r="G175" s="85"/>
      <c r="H175" s="85"/>
      <c r="I175" s="85"/>
      <c r="J175" s="85"/>
      <c r="K175" s="85"/>
      <c r="L175" s="85"/>
      <c r="M175" s="81" t="n">
        <v>11910</v>
      </c>
      <c r="N175" s="81"/>
      <c r="O175" s="96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</row>
    <row collapsed="false" customFormat="false" customHeight="true" hidden="false" ht="16.2" outlineLevel="0" r="176">
      <c r="A176" s="80"/>
      <c r="B176" s="81" t="s">
        <v>171</v>
      </c>
      <c r="C176" s="85"/>
      <c r="D176" s="85" t="s">
        <v>1054</v>
      </c>
      <c r="E176" s="83" t="s">
        <v>1037</v>
      </c>
      <c r="F176" s="49" t="s">
        <v>1036</v>
      </c>
      <c r="G176" s="85" t="s">
        <v>1052</v>
      </c>
      <c r="H176" s="85" t="n">
        <v>54</v>
      </c>
      <c r="I176" s="85" t="s">
        <v>1046</v>
      </c>
      <c r="J176" s="85" t="n">
        <v>3</v>
      </c>
      <c r="K176" s="85" t="s">
        <v>1041</v>
      </c>
      <c r="L176" s="85" t="s">
        <v>1041</v>
      </c>
      <c r="M176" s="81" t="n">
        <v>11910</v>
      </c>
      <c r="N176" s="81"/>
      <c r="O176" s="96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</row>
    <row collapsed="false" customFormat="false" customHeight="true" hidden="false" ht="16.2" outlineLevel="0" r="177">
      <c r="A177" s="80" t="n">
        <v>84</v>
      </c>
      <c r="B177" s="81"/>
      <c r="C177" s="82" t="s">
        <v>1033</v>
      </c>
      <c r="D177" s="85"/>
      <c r="E177" s="83" t="s">
        <v>1035</v>
      </c>
      <c r="F177" s="49" t="s">
        <v>1036</v>
      </c>
      <c r="G177" s="85"/>
      <c r="H177" s="85"/>
      <c r="I177" s="85"/>
      <c r="J177" s="85"/>
      <c r="K177" s="85"/>
      <c r="L177" s="85"/>
      <c r="M177" s="81" t="n">
        <v>31575</v>
      </c>
      <c r="N177" s="81"/>
      <c r="O177" s="96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</row>
    <row collapsed="false" customFormat="false" customHeight="true" hidden="false" ht="16.2" outlineLevel="0" r="178">
      <c r="A178" s="80"/>
      <c r="B178" s="81" t="s">
        <v>172</v>
      </c>
      <c r="C178" s="85"/>
      <c r="D178" s="85" t="s">
        <v>1054</v>
      </c>
      <c r="E178" s="83" t="s">
        <v>1037</v>
      </c>
      <c r="F178" s="49" t="s">
        <v>1036</v>
      </c>
      <c r="G178" s="85" t="s">
        <v>1052</v>
      </c>
      <c r="H178" s="85" t="n">
        <v>54</v>
      </c>
      <c r="I178" s="85" t="s">
        <v>1046</v>
      </c>
      <c r="J178" s="85" t="n">
        <v>3</v>
      </c>
      <c r="K178" s="85" t="s">
        <v>1041</v>
      </c>
      <c r="L178" s="85" t="s">
        <v>1041</v>
      </c>
      <c r="M178" s="81" t="n">
        <v>31575</v>
      </c>
      <c r="N178" s="81"/>
      <c r="O178" s="96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</row>
    <row collapsed="false" customFormat="false" customHeight="true" hidden="false" ht="16.2" outlineLevel="0" r="179">
      <c r="A179" s="80" t="n">
        <v>85</v>
      </c>
      <c r="B179" s="81"/>
      <c r="C179" s="82" t="s">
        <v>1033</v>
      </c>
      <c r="D179" s="85"/>
      <c r="E179" s="83" t="s">
        <v>1035</v>
      </c>
      <c r="F179" s="49" t="s">
        <v>1036</v>
      </c>
      <c r="G179" s="85"/>
      <c r="H179" s="85"/>
      <c r="I179" s="85"/>
      <c r="J179" s="85"/>
      <c r="K179" s="85"/>
      <c r="L179" s="85"/>
      <c r="M179" s="81" t="n">
        <v>9774</v>
      </c>
      <c r="N179" s="81"/>
      <c r="O179" s="96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</row>
    <row collapsed="false" customFormat="false" customHeight="true" hidden="false" ht="16.2" outlineLevel="0" r="180">
      <c r="A180" s="80"/>
      <c r="B180" s="81" t="s">
        <v>173</v>
      </c>
      <c r="C180" s="85"/>
      <c r="D180" s="85" t="s">
        <v>1054</v>
      </c>
      <c r="E180" s="83" t="s">
        <v>1037</v>
      </c>
      <c r="F180" s="49" t="s">
        <v>1036</v>
      </c>
      <c r="G180" s="85" t="s">
        <v>1039</v>
      </c>
      <c r="H180" s="85" t="n">
        <v>44</v>
      </c>
      <c r="I180" s="85" t="s">
        <v>1046</v>
      </c>
      <c r="J180" s="85" t="n">
        <v>3</v>
      </c>
      <c r="K180" s="85" t="s">
        <v>1041</v>
      </c>
      <c r="L180" s="85" t="s">
        <v>1041</v>
      </c>
      <c r="M180" s="81" t="n">
        <v>9774</v>
      </c>
      <c r="N180" s="81"/>
      <c r="O180" s="96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</row>
    <row collapsed="false" customFormat="false" customHeight="true" hidden="false" ht="16.2" outlineLevel="0" r="181">
      <c r="A181" s="80" t="n">
        <v>86</v>
      </c>
      <c r="B181" s="81"/>
      <c r="C181" s="82" t="s">
        <v>1033</v>
      </c>
      <c r="D181" s="85"/>
      <c r="E181" s="83" t="s">
        <v>1035</v>
      </c>
      <c r="F181" s="49" t="s">
        <v>1036</v>
      </c>
      <c r="G181" s="85"/>
      <c r="H181" s="85"/>
      <c r="I181" s="85"/>
      <c r="J181" s="85"/>
      <c r="K181" s="85"/>
      <c r="L181" s="85"/>
      <c r="M181" s="81"/>
      <c r="N181" s="81"/>
      <c r="O181" s="96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</row>
    <row collapsed="false" customFormat="false" customHeight="true" hidden="false" ht="16.2" outlineLevel="0" r="182">
      <c r="A182" s="80"/>
      <c r="B182" s="81" t="s">
        <v>176</v>
      </c>
      <c r="C182" s="85"/>
      <c r="D182" s="85" t="s">
        <v>1054</v>
      </c>
      <c r="E182" s="83" t="s">
        <v>1037</v>
      </c>
      <c r="F182" s="49" t="s">
        <v>1036</v>
      </c>
      <c r="G182" s="85" t="s">
        <v>1039</v>
      </c>
      <c r="H182" s="85" t="n">
        <v>24</v>
      </c>
      <c r="I182" s="85" t="s">
        <v>1039</v>
      </c>
      <c r="J182" s="85" t="n">
        <v>4</v>
      </c>
      <c r="K182" s="85" t="s">
        <v>1041</v>
      </c>
      <c r="L182" s="85" t="s">
        <v>1041</v>
      </c>
      <c r="M182" s="81" t="n">
        <v>7554</v>
      </c>
      <c r="N182" s="81"/>
      <c r="O182" s="96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</row>
    <row collapsed="false" customFormat="false" customHeight="true" hidden="false" ht="16.2" outlineLevel="0" r="183">
      <c r="A183" s="80" t="n">
        <v>87</v>
      </c>
      <c r="B183" s="81"/>
      <c r="C183" s="82" t="s">
        <v>1033</v>
      </c>
      <c r="D183" s="85"/>
      <c r="E183" s="83" t="s">
        <v>1035</v>
      </c>
      <c r="F183" s="49" t="s">
        <v>1036</v>
      </c>
      <c r="G183" s="85"/>
      <c r="H183" s="85"/>
      <c r="I183" s="85"/>
      <c r="J183" s="85"/>
      <c r="K183" s="85"/>
      <c r="L183" s="85"/>
      <c r="M183" s="81"/>
      <c r="N183" s="81"/>
      <c r="O183" s="96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</row>
    <row collapsed="false" customFormat="false" customHeight="true" hidden="false" ht="16.2" outlineLevel="0" r="184">
      <c r="A184" s="80"/>
      <c r="B184" s="81" t="s">
        <v>177</v>
      </c>
      <c r="C184" s="85"/>
      <c r="D184" s="85" t="s">
        <v>1054</v>
      </c>
      <c r="E184" s="83" t="s">
        <v>1037</v>
      </c>
      <c r="F184" s="49" t="s">
        <v>1036</v>
      </c>
      <c r="G184" s="85" t="s">
        <v>1039</v>
      </c>
      <c r="H184" s="85" t="n">
        <v>30</v>
      </c>
      <c r="I184" s="85" t="s">
        <v>1039</v>
      </c>
      <c r="J184" s="85" t="n">
        <v>5</v>
      </c>
      <c r="K184" s="85" t="s">
        <v>1041</v>
      </c>
      <c r="L184" s="85" t="s">
        <v>1041</v>
      </c>
      <c r="M184" s="81" t="n">
        <v>7422</v>
      </c>
      <c r="N184" s="81"/>
      <c r="O184" s="96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</row>
    <row collapsed="false" customFormat="false" customHeight="true" hidden="false" ht="16.2" outlineLevel="0" r="185">
      <c r="A185" s="80" t="n">
        <v>88</v>
      </c>
      <c r="B185" s="81"/>
      <c r="C185" s="82" t="s">
        <v>1033</v>
      </c>
      <c r="D185" s="85"/>
      <c r="E185" s="83" t="s">
        <v>1035</v>
      </c>
      <c r="F185" s="49"/>
      <c r="G185" s="85"/>
      <c r="H185" s="85"/>
      <c r="I185" s="85"/>
      <c r="J185" s="85"/>
      <c r="K185" s="85"/>
      <c r="L185" s="85"/>
      <c r="M185" s="81"/>
      <c r="N185" s="81"/>
      <c r="O185" s="96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</row>
    <row collapsed="false" customFormat="false" customHeight="true" hidden="false" ht="16.2" outlineLevel="0" r="186">
      <c r="A186" s="80"/>
      <c r="B186" s="81" t="s">
        <v>178</v>
      </c>
      <c r="C186" s="85"/>
      <c r="D186" s="85" t="s">
        <v>1054</v>
      </c>
      <c r="E186" s="83" t="s">
        <v>1037</v>
      </c>
      <c r="F186" s="49" t="s">
        <v>1036</v>
      </c>
      <c r="G186" s="85" t="s">
        <v>1039</v>
      </c>
      <c r="H186" s="85" t="n">
        <v>24</v>
      </c>
      <c r="I186" s="85" t="s">
        <v>1039</v>
      </c>
      <c r="J186" s="85" t="n">
        <v>4</v>
      </c>
      <c r="K186" s="85" t="s">
        <v>1041</v>
      </c>
      <c r="L186" s="85" t="s">
        <v>1041</v>
      </c>
      <c r="M186" s="81" t="n">
        <v>5226</v>
      </c>
      <c r="N186" s="81"/>
      <c r="O186" s="96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</row>
    <row collapsed="false" customFormat="false" customHeight="true" hidden="false" ht="16.2" outlineLevel="0" r="187">
      <c r="A187" s="80" t="n">
        <v>89</v>
      </c>
      <c r="B187" s="81"/>
      <c r="C187" s="82" t="s">
        <v>1033</v>
      </c>
      <c r="D187" s="85"/>
      <c r="E187" s="83" t="s">
        <v>1035</v>
      </c>
      <c r="F187" s="49" t="s">
        <v>1036</v>
      </c>
      <c r="G187" s="85"/>
      <c r="H187" s="85"/>
      <c r="I187" s="85"/>
      <c r="J187" s="85"/>
      <c r="K187" s="85"/>
      <c r="L187" s="85"/>
      <c r="M187" s="81"/>
      <c r="N187" s="81"/>
      <c r="O187" s="96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</row>
    <row collapsed="false" customFormat="false" customHeight="true" hidden="false" ht="16.2" outlineLevel="0" r="188">
      <c r="A188" s="80"/>
      <c r="B188" s="81" t="s">
        <v>179</v>
      </c>
      <c r="C188" s="85"/>
      <c r="D188" s="85" t="s">
        <v>1054</v>
      </c>
      <c r="E188" s="83" t="s">
        <v>1037</v>
      </c>
      <c r="F188" s="49" t="s">
        <v>1036</v>
      </c>
      <c r="G188" s="85" t="s">
        <v>1039</v>
      </c>
      <c r="H188" s="85" t="n">
        <v>30</v>
      </c>
      <c r="I188" s="85" t="s">
        <v>1039</v>
      </c>
      <c r="J188" s="85" t="n">
        <v>5</v>
      </c>
      <c r="K188" s="85" t="s">
        <v>1041</v>
      </c>
      <c r="L188" s="85" t="s">
        <v>1041</v>
      </c>
      <c r="M188" s="81" t="n">
        <v>7920</v>
      </c>
      <c r="N188" s="81"/>
      <c r="O188" s="96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</row>
    <row collapsed="false" customFormat="false" customHeight="true" hidden="false" ht="16.2" outlineLevel="0" r="189">
      <c r="A189" s="80" t="n">
        <v>90</v>
      </c>
      <c r="B189" s="81"/>
      <c r="C189" s="82" t="s">
        <v>1033</v>
      </c>
      <c r="D189" s="85"/>
      <c r="E189" s="83" t="s">
        <v>1035</v>
      </c>
      <c r="F189" s="49" t="s">
        <v>1036</v>
      </c>
      <c r="G189" s="85"/>
      <c r="H189" s="85"/>
      <c r="I189" s="85"/>
      <c r="J189" s="85"/>
      <c r="K189" s="85"/>
      <c r="L189" s="85"/>
      <c r="M189" s="81"/>
      <c r="N189" s="81"/>
      <c r="O189" s="96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</row>
    <row collapsed="false" customFormat="false" customHeight="true" hidden="false" ht="16.2" outlineLevel="0" r="190">
      <c r="A190" s="80"/>
      <c r="B190" s="81" t="s">
        <v>180</v>
      </c>
      <c r="C190" s="85"/>
      <c r="D190" s="85" t="s">
        <v>1054</v>
      </c>
      <c r="E190" s="83" t="s">
        <v>1037</v>
      </c>
      <c r="F190" s="49" t="s">
        <v>1036</v>
      </c>
      <c r="G190" s="85" t="s">
        <v>1039</v>
      </c>
      <c r="H190" s="85" t="n">
        <v>31</v>
      </c>
      <c r="I190" s="85" t="s">
        <v>1039</v>
      </c>
      <c r="J190" s="85" t="n">
        <v>5</v>
      </c>
      <c r="K190" s="85" t="s">
        <v>1041</v>
      </c>
      <c r="L190" s="85" t="s">
        <v>1041</v>
      </c>
      <c r="M190" s="81" t="n">
        <v>11826</v>
      </c>
      <c r="N190" s="81"/>
      <c r="O190" s="96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</row>
    <row collapsed="false" customFormat="false" customHeight="true" hidden="false" ht="16.2" outlineLevel="0" r="191">
      <c r="A191" s="80" t="n">
        <v>91</v>
      </c>
      <c r="B191" s="81"/>
      <c r="C191" s="82" t="s">
        <v>1033</v>
      </c>
      <c r="D191" s="85"/>
      <c r="E191" s="83" t="s">
        <v>1035</v>
      </c>
      <c r="F191" s="49" t="s">
        <v>1036</v>
      </c>
      <c r="G191" s="85"/>
      <c r="H191" s="85"/>
      <c r="I191" s="85"/>
      <c r="J191" s="85"/>
      <c r="K191" s="85"/>
      <c r="L191" s="85"/>
      <c r="M191" s="81"/>
      <c r="N191" s="81"/>
      <c r="O191" s="96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</row>
    <row collapsed="false" customFormat="false" customHeight="true" hidden="false" ht="16.2" outlineLevel="0" r="192">
      <c r="A192" s="80"/>
      <c r="B192" s="81" t="s">
        <v>181</v>
      </c>
      <c r="C192" s="85"/>
      <c r="D192" s="85" t="s">
        <v>1054</v>
      </c>
      <c r="E192" s="83" t="s">
        <v>1037</v>
      </c>
      <c r="F192" s="49" t="s">
        <v>1036</v>
      </c>
      <c r="G192" s="85" t="s">
        <v>1039</v>
      </c>
      <c r="H192" s="85" t="n">
        <v>30</v>
      </c>
      <c r="I192" s="85" t="s">
        <v>1039</v>
      </c>
      <c r="J192" s="85" t="n">
        <v>5</v>
      </c>
      <c r="K192" s="85" t="s">
        <v>1041</v>
      </c>
      <c r="L192" s="85" t="s">
        <v>1041</v>
      </c>
      <c r="M192" s="81" t="n">
        <v>8052</v>
      </c>
      <c r="N192" s="81"/>
      <c r="O192" s="96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</row>
    <row collapsed="false" customFormat="false" customHeight="true" hidden="false" ht="16.2" outlineLevel="0" r="193">
      <c r="A193" s="80" t="n">
        <v>92</v>
      </c>
      <c r="B193" s="81"/>
      <c r="C193" s="82" t="s">
        <v>1033</v>
      </c>
      <c r="D193" s="85"/>
      <c r="E193" s="83" t="s">
        <v>1035</v>
      </c>
      <c r="F193" s="49" t="s">
        <v>1036</v>
      </c>
      <c r="G193" s="85"/>
      <c r="H193" s="85"/>
      <c r="I193" s="85"/>
      <c r="J193" s="85"/>
      <c r="K193" s="85"/>
      <c r="L193" s="85"/>
      <c r="M193" s="81"/>
      <c r="N193" s="81"/>
      <c r="O193" s="96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</row>
    <row collapsed="false" customFormat="false" customHeight="true" hidden="false" ht="16.2" outlineLevel="0" r="194">
      <c r="A194" s="80"/>
      <c r="B194" s="81" t="s">
        <v>182</v>
      </c>
      <c r="C194" s="85"/>
      <c r="D194" s="85" t="s">
        <v>1054</v>
      </c>
      <c r="E194" s="83" t="s">
        <v>1037</v>
      </c>
      <c r="F194" s="49" t="s">
        <v>1036</v>
      </c>
      <c r="G194" s="85" t="s">
        <v>1039</v>
      </c>
      <c r="H194" s="85" t="n">
        <v>24</v>
      </c>
      <c r="I194" s="85" t="s">
        <v>1039</v>
      </c>
      <c r="J194" s="85" t="n">
        <v>4</v>
      </c>
      <c r="K194" s="85" t="s">
        <v>1041</v>
      </c>
      <c r="L194" s="85" t="s">
        <v>1041</v>
      </c>
      <c r="M194" s="81" t="n">
        <v>6684</v>
      </c>
      <c r="N194" s="81"/>
      <c r="O194" s="96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</row>
    <row collapsed="false" customFormat="false" customHeight="true" hidden="false" ht="16.2" outlineLevel="0" r="195">
      <c r="A195" s="80" t="n">
        <v>93</v>
      </c>
      <c r="B195" s="81"/>
      <c r="C195" s="82" t="s">
        <v>1033</v>
      </c>
      <c r="D195" s="85"/>
      <c r="E195" s="83" t="s">
        <v>1035</v>
      </c>
      <c r="F195" s="49" t="s">
        <v>1036</v>
      </c>
      <c r="G195" s="85"/>
      <c r="H195" s="85"/>
      <c r="I195" s="85"/>
      <c r="J195" s="85"/>
      <c r="K195" s="85"/>
      <c r="L195" s="85"/>
      <c r="M195" s="81"/>
      <c r="N195" s="81"/>
      <c r="O195" s="96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</row>
    <row collapsed="false" customFormat="false" customHeight="true" hidden="false" ht="16.2" outlineLevel="0" r="196">
      <c r="A196" s="80"/>
      <c r="B196" s="81" t="s">
        <v>184</v>
      </c>
      <c r="C196" s="85"/>
      <c r="D196" s="85" t="s">
        <v>1054</v>
      </c>
      <c r="E196" s="83" t="s">
        <v>1037</v>
      </c>
      <c r="F196" s="49" t="s">
        <v>1036</v>
      </c>
      <c r="G196" s="85" t="s">
        <v>1039</v>
      </c>
      <c r="H196" s="85" t="n">
        <v>12</v>
      </c>
      <c r="I196" s="85" t="s">
        <v>1039</v>
      </c>
      <c r="J196" s="85" t="n">
        <v>2</v>
      </c>
      <c r="K196" s="85" t="s">
        <v>1041</v>
      </c>
      <c r="L196" s="85" t="s">
        <v>1041</v>
      </c>
      <c r="M196" s="81" t="n">
        <v>1626</v>
      </c>
      <c r="N196" s="81"/>
      <c r="O196" s="96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</row>
    <row collapsed="false" customFormat="false" customHeight="true" hidden="false" ht="16.2" outlineLevel="0" r="197">
      <c r="A197" s="80" t="n">
        <v>94</v>
      </c>
      <c r="B197" s="81"/>
      <c r="C197" s="82" t="s">
        <v>1033</v>
      </c>
      <c r="D197" s="85"/>
      <c r="E197" s="83" t="s">
        <v>1035</v>
      </c>
      <c r="F197" s="49" t="s">
        <v>1036</v>
      </c>
      <c r="G197" s="85"/>
      <c r="H197" s="85"/>
      <c r="I197" s="85"/>
      <c r="J197" s="85"/>
      <c r="K197" s="85"/>
      <c r="L197" s="85"/>
      <c r="M197" s="81"/>
      <c r="N197" s="81"/>
      <c r="O197" s="96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</row>
    <row collapsed="false" customFormat="false" customHeight="true" hidden="false" ht="16.2" outlineLevel="0" r="198">
      <c r="A198" s="80"/>
      <c r="B198" s="81" t="s">
        <v>185</v>
      </c>
      <c r="C198" s="85"/>
      <c r="D198" s="85" t="s">
        <v>1054</v>
      </c>
      <c r="E198" s="83" t="s">
        <v>1037</v>
      </c>
      <c r="F198" s="49" t="s">
        <v>1036</v>
      </c>
      <c r="G198" s="85" t="s">
        <v>1039</v>
      </c>
      <c r="H198" s="85" t="n">
        <v>15</v>
      </c>
      <c r="I198" s="85" t="s">
        <v>1039</v>
      </c>
      <c r="J198" s="85" t="n">
        <v>3</v>
      </c>
      <c r="K198" s="85" t="s">
        <v>1041</v>
      </c>
      <c r="L198" s="85" t="s">
        <v>1041</v>
      </c>
      <c r="M198" s="81" t="n">
        <v>2508</v>
      </c>
      <c r="N198" s="81"/>
      <c r="O198" s="96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</row>
    <row collapsed="false" customFormat="false" customHeight="true" hidden="false" ht="16.2" outlineLevel="0" r="199">
      <c r="A199" s="80" t="n">
        <v>95</v>
      </c>
      <c r="B199" s="81"/>
      <c r="C199" s="82" t="s">
        <v>1033</v>
      </c>
      <c r="D199" s="85"/>
      <c r="E199" s="83" t="s">
        <v>1035</v>
      </c>
      <c r="F199" s="49" t="s">
        <v>1036</v>
      </c>
      <c r="G199" s="85"/>
      <c r="H199" s="85"/>
      <c r="I199" s="85"/>
      <c r="J199" s="85"/>
      <c r="K199" s="85"/>
      <c r="L199" s="85"/>
      <c r="M199" s="81"/>
      <c r="N199" s="81"/>
      <c r="O199" s="96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</row>
    <row collapsed="false" customFormat="false" customHeight="true" hidden="false" ht="16.2" outlineLevel="0" r="200">
      <c r="A200" s="80"/>
      <c r="B200" s="81" t="s">
        <v>187</v>
      </c>
      <c r="C200" s="85"/>
      <c r="D200" s="85" t="s">
        <v>1054</v>
      </c>
      <c r="E200" s="83" t="s">
        <v>1037</v>
      </c>
      <c r="F200" s="49" t="s">
        <v>1036</v>
      </c>
      <c r="G200" s="85" t="s">
        <v>1039</v>
      </c>
      <c r="H200" s="85" t="n">
        <v>12</v>
      </c>
      <c r="I200" s="85" t="s">
        <v>1039</v>
      </c>
      <c r="J200" s="85" t="n">
        <v>2</v>
      </c>
      <c r="K200" s="85" t="s">
        <v>1041</v>
      </c>
      <c r="L200" s="85" t="s">
        <v>1041</v>
      </c>
      <c r="M200" s="81" t="n">
        <v>4080</v>
      </c>
      <c r="N200" s="81"/>
      <c r="O200" s="96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</row>
    <row collapsed="false" customFormat="false" customHeight="true" hidden="false" ht="16.2" outlineLevel="0" r="201">
      <c r="A201" s="80" t="n">
        <v>96</v>
      </c>
      <c r="B201" s="81"/>
      <c r="C201" s="82" t="s">
        <v>1033</v>
      </c>
      <c r="D201" s="85"/>
      <c r="E201" s="83" t="s">
        <v>1035</v>
      </c>
      <c r="F201" s="49" t="s">
        <v>1036</v>
      </c>
      <c r="G201" s="85"/>
      <c r="H201" s="85"/>
      <c r="I201" s="85"/>
      <c r="J201" s="85"/>
      <c r="K201" s="85"/>
      <c r="L201" s="85"/>
      <c r="M201" s="81"/>
      <c r="N201" s="81"/>
      <c r="O201" s="96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</row>
    <row collapsed="false" customFormat="false" customHeight="true" hidden="false" ht="16.2" outlineLevel="0" r="202">
      <c r="A202" s="80"/>
      <c r="B202" s="81" t="s">
        <v>189</v>
      </c>
      <c r="C202" s="85"/>
      <c r="D202" s="85" t="s">
        <v>1054</v>
      </c>
      <c r="E202" s="83" t="s">
        <v>1037</v>
      </c>
      <c r="F202" s="49" t="s">
        <v>1036</v>
      </c>
      <c r="G202" s="85" t="s">
        <v>1039</v>
      </c>
      <c r="H202" s="85" t="n">
        <v>12</v>
      </c>
      <c r="I202" s="85" t="s">
        <v>1039</v>
      </c>
      <c r="J202" s="85" t="n">
        <v>2</v>
      </c>
      <c r="K202" s="85" t="s">
        <v>1041</v>
      </c>
      <c r="L202" s="85" t="s">
        <v>1041</v>
      </c>
      <c r="M202" s="81" t="n">
        <v>0</v>
      </c>
      <c r="N202" s="81"/>
      <c r="O202" s="96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</row>
    <row collapsed="false" customFormat="false" customHeight="true" hidden="false" ht="16.2" outlineLevel="0" r="203">
      <c r="A203" s="80" t="n">
        <v>97</v>
      </c>
      <c r="B203" s="81" t="s">
        <v>191</v>
      </c>
      <c r="C203" s="82" t="s">
        <v>1033</v>
      </c>
      <c r="D203" s="82" t="s">
        <v>1034</v>
      </c>
      <c r="E203" s="83" t="s">
        <v>1035</v>
      </c>
      <c r="F203" s="84" t="s">
        <v>1036</v>
      </c>
      <c r="G203" s="85"/>
      <c r="H203" s="85"/>
      <c r="I203" s="85"/>
      <c r="J203" s="85"/>
      <c r="K203" s="86" t="s">
        <v>53</v>
      </c>
      <c r="L203" s="86" t="s">
        <v>53</v>
      </c>
      <c r="M203" s="90"/>
      <c r="N203" s="90"/>
      <c r="O203" s="90"/>
      <c r="P203" s="90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90"/>
      <c r="AF203" s="81"/>
      <c r="AG203" s="81"/>
      <c r="AH203" s="81"/>
      <c r="AI203" s="81"/>
      <c r="AJ203" s="81"/>
      <c r="AK203" s="81"/>
      <c r="AL203" s="81"/>
      <c r="AM203" s="81" t="n">
        <f aca="false">O203+Q203+S203+U203+W203+Y203+AA203+AC203+AE203+AG203+AI203+AK203</f>
        <v>0</v>
      </c>
    </row>
    <row collapsed="false" customFormat="false" customHeight="true" hidden="false" ht="16.2" outlineLevel="0" r="204">
      <c r="A204" s="80"/>
      <c r="B204" s="89"/>
      <c r="C204" s="85"/>
      <c r="D204" s="85"/>
      <c r="E204" s="83" t="s">
        <v>1037</v>
      </c>
      <c r="F204" s="84" t="s">
        <v>1036</v>
      </c>
      <c r="G204" s="85"/>
      <c r="H204" s="85"/>
      <c r="I204" s="85"/>
      <c r="J204" s="85"/>
      <c r="K204" s="86"/>
      <c r="L204" s="86"/>
      <c r="M204" s="90" t="n">
        <f aca="false">852+929</f>
        <v>1781</v>
      </c>
      <c r="N204" s="91" t="n">
        <f aca="false">954+1634</f>
        <v>2588</v>
      </c>
      <c r="O204" s="90" t="n">
        <v>371</v>
      </c>
      <c r="P204" s="90" t="s">
        <v>1005</v>
      </c>
      <c r="Q204" s="81" t="n">
        <v>380</v>
      </c>
      <c r="R204" s="90" t="s">
        <v>1005</v>
      </c>
      <c r="S204" s="81" t="n">
        <v>102</v>
      </c>
      <c r="T204" s="81" t="s">
        <v>1005</v>
      </c>
      <c r="U204" s="81" t="n">
        <v>82</v>
      </c>
      <c r="V204" s="81" t="s">
        <v>1005</v>
      </c>
      <c r="W204" s="81" t="n">
        <v>78</v>
      </c>
      <c r="X204" s="81" t="s">
        <v>1005</v>
      </c>
      <c r="Y204" s="81" t="n">
        <v>21</v>
      </c>
      <c r="Z204" s="81" t="s">
        <v>1005</v>
      </c>
      <c r="AA204" s="81" t="n">
        <v>13</v>
      </c>
      <c r="AB204" s="81" t="s">
        <v>1005</v>
      </c>
      <c r="AC204" s="81" t="n">
        <v>35</v>
      </c>
      <c r="AD204" s="81" t="s">
        <v>1005</v>
      </c>
      <c r="AE204" s="90" t="n">
        <f aca="false">16+26</f>
        <v>42</v>
      </c>
      <c r="AF204" s="81" t="s">
        <v>1005</v>
      </c>
      <c r="AG204" s="81" t="n">
        <f aca="false">26+28</f>
        <v>54</v>
      </c>
      <c r="AH204" s="81" t="s">
        <v>1005</v>
      </c>
      <c r="AI204" s="81" t="n">
        <f aca="false">61+41</f>
        <v>102</v>
      </c>
      <c r="AJ204" s="81" t="s">
        <v>1005</v>
      </c>
      <c r="AK204" s="81" t="n">
        <f aca="false">74+46</f>
        <v>120</v>
      </c>
      <c r="AL204" s="81" t="s">
        <v>1005</v>
      </c>
      <c r="AM204" s="81" t="n">
        <f aca="false">O204+Q204+S204+U204+W204+Y204+AA204+AC204+AE204+AG204+AI204+AK204</f>
        <v>1400</v>
      </c>
    </row>
    <row collapsed="false" customFormat="false" customHeight="true" hidden="false" ht="16.2" outlineLevel="0" r="205">
      <c r="A205" s="80" t="n">
        <v>98</v>
      </c>
      <c r="B205" s="81" t="s">
        <v>192</v>
      </c>
      <c r="C205" s="82" t="s">
        <v>1033</v>
      </c>
      <c r="D205" s="82" t="s">
        <v>1034</v>
      </c>
      <c r="E205" s="83" t="s">
        <v>1035</v>
      </c>
      <c r="F205" s="84" t="s">
        <v>1036</v>
      </c>
      <c r="G205" s="85"/>
      <c r="H205" s="85"/>
      <c r="I205" s="85"/>
      <c r="J205" s="85"/>
      <c r="K205" s="86" t="s">
        <v>53</v>
      </c>
      <c r="L205" s="86" t="s">
        <v>53</v>
      </c>
      <c r="M205" s="90"/>
      <c r="N205" s="90"/>
      <c r="O205" s="90"/>
      <c r="P205" s="90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90"/>
      <c r="AF205" s="81"/>
      <c r="AG205" s="81"/>
      <c r="AH205" s="81"/>
      <c r="AI205" s="81"/>
      <c r="AJ205" s="81"/>
      <c r="AK205" s="81"/>
      <c r="AL205" s="81"/>
      <c r="AM205" s="81" t="n">
        <f aca="false">O205+Q205+S205+U205+W205+Y205+AA205+AC205+AE205+AG205+AI205+AK205</f>
        <v>0</v>
      </c>
    </row>
    <row collapsed="false" customFormat="false" customHeight="true" hidden="false" ht="16.2" outlineLevel="0" r="206">
      <c r="A206" s="80"/>
      <c r="B206" s="97"/>
      <c r="C206" s="85"/>
      <c r="D206" s="85"/>
      <c r="E206" s="83" t="s">
        <v>1037</v>
      </c>
      <c r="F206" s="84" t="s">
        <v>1036</v>
      </c>
      <c r="G206" s="85"/>
      <c r="H206" s="85"/>
      <c r="I206" s="85"/>
      <c r="J206" s="85"/>
      <c r="K206" s="86"/>
      <c r="L206" s="86"/>
      <c r="M206" s="90" t="n">
        <f aca="false">1263+1064+350+260</f>
        <v>2937</v>
      </c>
      <c r="N206" s="90" t="n">
        <f aca="false">877+718+385+422</f>
        <v>2402</v>
      </c>
      <c r="O206" s="90" t="n">
        <v>0</v>
      </c>
      <c r="P206" s="90" t="s">
        <v>1005</v>
      </c>
      <c r="Q206" s="81" t="n">
        <v>0</v>
      </c>
      <c r="R206" s="90" t="s">
        <v>1005</v>
      </c>
      <c r="S206" s="81" t="n">
        <v>0</v>
      </c>
      <c r="T206" s="81" t="s">
        <v>1005</v>
      </c>
      <c r="U206" s="81" t="n">
        <v>0</v>
      </c>
      <c r="V206" s="81" t="s">
        <v>1005</v>
      </c>
      <c r="W206" s="81" t="n">
        <v>1497</v>
      </c>
      <c r="X206" s="81" t="s">
        <v>1005</v>
      </c>
      <c r="Y206" s="81" t="n">
        <v>250</v>
      </c>
      <c r="Z206" s="81" t="s">
        <v>1005</v>
      </c>
      <c r="AA206" s="81" t="n">
        <v>241</v>
      </c>
      <c r="AB206" s="81" t="s">
        <v>1005</v>
      </c>
      <c r="AC206" s="81" t="n">
        <v>223</v>
      </c>
      <c r="AD206" s="81" t="s">
        <v>1005</v>
      </c>
      <c r="AE206" s="90" t="n">
        <f aca="false">30+23+14+8</f>
        <v>75</v>
      </c>
      <c r="AF206" s="81" t="s">
        <v>1005</v>
      </c>
      <c r="AG206" s="99" t="s">
        <v>1055</v>
      </c>
      <c r="AH206" s="81" t="s">
        <v>1005</v>
      </c>
      <c r="AI206" s="99"/>
      <c r="AJ206" s="81" t="s">
        <v>1005</v>
      </c>
      <c r="AK206" s="99"/>
      <c r="AL206" s="81" t="s">
        <v>1005</v>
      </c>
      <c r="AM206" s="81" t="n">
        <f aca="false">O206+Q206+S206+U206+W206+Y206+AA206+AC206+AE206</f>
        <v>2286</v>
      </c>
    </row>
    <row collapsed="false" customFormat="false" customHeight="true" hidden="false" ht="16.2" outlineLevel="0" r="207">
      <c r="A207" s="80" t="n">
        <v>99</v>
      </c>
      <c r="B207" s="81" t="s">
        <v>193</v>
      </c>
      <c r="C207" s="82" t="s">
        <v>1033</v>
      </c>
      <c r="D207" s="82" t="s">
        <v>1034</v>
      </c>
      <c r="E207" s="83" t="s">
        <v>1035</v>
      </c>
      <c r="F207" s="84" t="s">
        <v>1036</v>
      </c>
      <c r="G207" s="85"/>
      <c r="H207" s="85"/>
      <c r="I207" s="85"/>
      <c r="J207" s="85"/>
      <c r="K207" s="86" t="s">
        <v>53</v>
      </c>
      <c r="L207" s="86" t="s">
        <v>53</v>
      </c>
      <c r="M207" s="90"/>
      <c r="N207" s="90"/>
      <c r="O207" s="90"/>
      <c r="P207" s="90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90"/>
      <c r="AF207" s="81"/>
      <c r="AG207" s="81"/>
      <c r="AH207" s="81"/>
      <c r="AI207" s="81"/>
      <c r="AJ207" s="81"/>
      <c r="AK207" s="81"/>
      <c r="AL207" s="81"/>
      <c r="AM207" s="81" t="n">
        <f aca="false">O207+Q207+S207+U207+W207+Y207+AA207+AC207+AE207+AG207+AI207+AK207</f>
        <v>0</v>
      </c>
    </row>
    <row collapsed="false" customFormat="false" customHeight="true" hidden="false" ht="16.2" outlineLevel="0" r="208">
      <c r="A208" s="80"/>
      <c r="B208" s="89"/>
      <c r="C208" s="85"/>
      <c r="D208" s="85"/>
      <c r="E208" s="83" t="s">
        <v>1037</v>
      </c>
      <c r="F208" s="84" t="s">
        <v>1036</v>
      </c>
      <c r="G208" s="85"/>
      <c r="H208" s="85"/>
      <c r="I208" s="85"/>
      <c r="J208" s="85"/>
      <c r="K208" s="86"/>
      <c r="L208" s="86"/>
      <c r="M208" s="90" t="n">
        <f aca="false">1190+785</f>
        <v>1975</v>
      </c>
      <c r="N208" s="90" t="n">
        <f aca="false">1296+903</f>
        <v>2199</v>
      </c>
      <c r="O208" s="90" t="n">
        <v>183</v>
      </c>
      <c r="P208" s="90" t="s">
        <v>1005</v>
      </c>
      <c r="Q208" s="81" t="n">
        <v>199</v>
      </c>
      <c r="R208" s="90" t="s">
        <v>1005</v>
      </c>
      <c r="S208" s="81" t="n">
        <v>132</v>
      </c>
      <c r="T208" s="81" t="s">
        <v>1005</v>
      </c>
      <c r="U208" s="81" t="n">
        <v>185</v>
      </c>
      <c r="V208" s="81" t="s">
        <v>1005</v>
      </c>
      <c r="W208" s="81" t="n">
        <v>148</v>
      </c>
      <c r="X208" s="81" t="s">
        <v>1005</v>
      </c>
      <c r="Y208" s="81" t="n">
        <v>9</v>
      </c>
      <c r="Z208" s="81" t="s">
        <v>1005</v>
      </c>
      <c r="AA208" s="81" t="n">
        <v>61</v>
      </c>
      <c r="AB208" s="81" t="s">
        <v>1005</v>
      </c>
      <c r="AC208" s="81" t="n">
        <v>140</v>
      </c>
      <c r="AD208" s="81" t="s">
        <v>1005</v>
      </c>
      <c r="AE208" s="90" t="n">
        <f aca="false">77+59</f>
        <v>136</v>
      </c>
      <c r="AF208" s="81" t="s">
        <v>1005</v>
      </c>
      <c r="AG208" s="81" t="n">
        <f aca="false">99+57</f>
        <v>156</v>
      </c>
      <c r="AH208" s="81" t="s">
        <v>1005</v>
      </c>
      <c r="AI208" s="81" t="n">
        <f aca="false">190+105</f>
        <v>295</v>
      </c>
      <c r="AJ208" s="81" t="s">
        <v>1005</v>
      </c>
      <c r="AK208" s="81" t="n">
        <f aca="false">150+79</f>
        <v>229</v>
      </c>
      <c r="AL208" s="81" t="s">
        <v>1005</v>
      </c>
      <c r="AM208" s="81" t="n">
        <f aca="false">O208+Q208+S208+U208+W208+Y208+AA208+AC208+AE208+AG208+AI208+AK208</f>
        <v>1873</v>
      </c>
    </row>
    <row collapsed="false" customFormat="false" customHeight="true" hidden="false" ht="16.2" outlineLevel="0" r="209">
      <c r="A209" s="80" t="n">
        <v>100</v>
      </c>
      <c r="B209" s="81" t="s">
        <v>195</v>
      </c>
      <c r="C209" s="82" t="s">
        <v>1033</v>
      </c>
      <c r="D209" s="82" t="s">
        <v>1034</v>
      </c>
      <c r="E209" s="83" t="s">
        <v>1035</v>
      </c>
      <c r="F209" s="84" t="s">
        <v>1036</v>
      </c>
      <c r="G209" s="85"/>
      <c r="H209" s="85"/>
      <c r="I209" s="85"/>
      <c r="J209" s="85"/>
      <c r="K209" s="86" t="s">
        <v>53</v>
      </c>
      <c r="L209" s="86" t="s">
        <v>53</v>
      </c>
      <c r="M209" s="90"/>
      <c r="N209" s="90"/>
      <c r="O209" s="90"/>
      <c r="P209" s="90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90"/>
      <c r="AF209" s="81"/>
      <c r="AG209" s="81"/>
      <c r="AH209" s="81"/>
      <c r="AI209" s="81"/>
      <c r="AJ209" s="81"/>
      <c r="AK209" s="81"/>
      <c r="AL209" s="81"/>
      <c r="AM209" s="81" t="n">
        <f aca="false">O209+Q209+S209+U209+W209+Y209+AA209+AC209+AE209+AG209+AI209+AK209</f>
        <v>0</v>
      </c>
    </row>
    <row collapsed="false" customFormat="false" customHeight="true" hidden="false" ht="16.2" outlineLevel="0" r="210">
      <c r="A210" s="80"/>
      <c r="B210" s="89"/>
      <c r="C210" s="85"/>
      <c r="D210" s="85"/>
      <c r="E210" s="83" t="s">
        <v>1037</v>
      </c>
      <c r="F210" s="84" t="s">
        <v>1036</v>
      </c>
      <c r="G210" s="85"/>
      <c r="H210" s="85"/>
      <c r="I210" s="85"/>
      <c r="J210" s="85"/>
      <c r="K210" s="86"/>
      <c r="L210" s="86"/>
      <c r="M210" s="90" t="n">
        <f aca="false">551+380</f>
        <v>931</v>
      </c>
      <c r="N210" s="90" t="n">
        <f aca="false">936+555</f>
        <v>1491</v>
      </c>
      <c r="O210" s="90" t="n">
        <v>124</v>
      </c>
      <c r="P210" s="90" t="s">
        <v>1005</v>
      </c>
      <c r="Q210" s="81" t="n">
        <v>503</v>
      </c>
      <c r="R210" s="90" t="s">
        <v>1005</v>
      </c>
      <c r="S210" s="81" t="n">
        <v>91</v>
      </c>
      <c r="T210" s="81" t="s">
        <v>1005</v>
      </c>
      <c r="U210" s="81" t="n">
        <v>83</v>
      </c>
      <c r="V210" s="81" t="s">
        <v>1005</v>
      </c>
      <c r="W210" s="81" t="n">
        <v>58</v>
      </c>
      <c r="X210" s="81" t="s">
        <v>1005</v>
      </c>
      <c r="Y210" s="81" t="n">
        <v>30</v>
      </c>
      <c r="Z210" s="81" t="s">
        <v>1005</v>
      </c>
      <c r="AA210" s="81" t="n">
        <v>25</v>
      </c>
      <c r="AB210" s="81" t="s">
        <v>1005</v>
      </c>
      <c r="AC210" s="81" t="n">
        <v>57</v>
      </c>
      <c r="AD210" s="81" t="s">
        <v>1005</v>
      </c>
      <c r="AE210" s="90" t="n">
        <f aca="false">63+1</f>
        <v>64</v>
      </c>
      <c r="AF210" s="81" t="s">
        <v>1005</v>
      </c>
      <c r="AG210" s="81" t="n">
        <f aca="false">93+1</f>
        <v>94</v>
      </c>
      <c r="AH210" s="81" t="s">
        <v>1005</v>
      </c>
      <c r="AI210" s="81" t="n">
        <f aca="false">91+45</f>
        <v>136</v>
      </c>
      <c r="AJ210" s="81" t="s">
        <v>1005</v>
      </c>
      <c r="AK210" s="81" t="n">
        <f aca="false">121+63</f>
        <v>184</v>
      </c>
      <c r="AL210" s="81" t="s">
        <v>1005</v>
      </c>
      <c r="AM210" s="81" t="n">
        <f aca="false">O210+Q210+S210+U210+W210+Y210+AA210+AC210+AE210+AG210+AI210+AK210</f>
        <v>1449</v>
      </c>
    </row>
    <row collapsed="false" customFormat="false" customHeight="true" hidden="false" ht="16.2" outlineLevel="0" r="211">
      <c r="A211" s="80" t="n">
        <v>101</v>
      </c>
      <c r="B211" s="81" t="s">
        <v>196</v>
      </c>
      <c r="C211" s="82" t="s">
        <v>1033</v>
      </c>
      <c r="D211" s="82" t="s">
        <v>1034</v>
      </c>
      <c r="E211" s="83" t="s">
        <v>1035</v>
      </c>
      <c r="F211" s="84" t="s">
        <v>1036</v>
      </c>
      <c r="G211" s="85"/>
      <c r="H211" s="85"/>
      <c r="I211" s="85"/>
      <c r="J211" s="85"/>
      <c r="K211" s="86" t="s">
        <v>53</v>
      </c>
      <c r="L211" s="86" t="s">
        <v>53</v>
      </c>
      <c r="M211" s="90"/>
      <c r="N211" s="90"/>
      <c r="O211" s="90"/>
      <c r="P211" s="90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90"/>
      <c r="AF211" s="81"/>
      <c r="AG211" s="81"/>
      <c r="AH211" s="81"/>
      <c r="AI211" s="81"/>
      <c r="AJ211" s="81"/>
      <c r="AK211" s="81"/>
      <c r="AL211" s="81"/>
      <c r="AM211" s="81" t="n">
        <f aca="false">O211+Q211+S211+U211+W211+Y211+AA211+AC211+AE211+AG211+AI211+AK211</f>
        <v>0</v>
      </c>
    </row>
    <row collapsed="false" customFormat="false" customHeight="true" hidden="false" ht="16.2" outlineLevel="0" r="212">
      <c r="A212" s="80"/>
      <c r="B212" s="89"/>
      <c r="C212" s="85"/>
      <c r="D212" s="85"/>
      <c r="E212" s="83" t="s">
        <v>1037</v>
      </c>
      <c r="F212" s="84" t="s">
        <v>1036</v>
      </c>
      <c r="G212" s="85"/>
      <c r="H212" s="85"/>
      <c r="I212" s="85"/>
      <c r="J212" s="85"/>
      <c r="K212" s="86"/>
      <c r="L212" s="86"/>
      <c r="M212" s="90" t="n">
        <f aca="false">992+1165</f>
        <v>2157</v>
      </c>
      <c r="N212" s="91" t="n">
        <f aca="false">1291+1533</f>
        <v>2824</v>
      </c>
      <c r="O212" s="90" t="n">
        <v>349</v>
      </c>
      <c r="P212" s="90" t="s">
        <v>1005</v>
      </c>
      <c r="Q212" s="81" t="n">
        <v>254</v>
      </c>
      <c r="R212" s="90" t="s">
        <v>1005</v>
      </c>
      <c r="S212" s="81" t="n">
        <v>144</v>
      </c>
      <c r="T212" s="81" t="s">
        <v>1005</v>
      </c>
      <c r="U212" s="81" t="n">
        <v>157</v>
      </c>
      <c r="V212" s="81" t="s">
        <v>1005</v>
      </c>
      <c r="W212" s="81" t="n">
        <v>116</v>
      </c>
      <c r="X212" s="81" t="s">
        <v>1005</v>
      </c>
      <c r="Y212" s="81" t="n">
        <v>70</v>
      </c>
      <c r="Z212" s="81" t="s">
        <v>1005</v>
      </c>
      <c r="AA212" s="81" t="n">
        <v>40</v>
      </c>
      <c r="AB212" s="81" t="s">
        <v>1005</v>
      </c>
      <c r="AC212" s="81" t="n">
        <v>89</v>
      </c>
      <c r="AD212" s="81" t="s">
        <v>1005</v>
      </c>
      <c r="AE212" s="90" t="n">
        <f aca="false">58+73</f>
        <v>131</v>
      </c>
      <c r="AF212" s="81" t="s">
        <v>1005</v>
      </c>
      <c r="AG212" s="81" t="n">
        <f aca="false">107+167</f>
        <v>274</v>
      </c>
      <c r="AH212" s="81" t="s">
        <v>1005</v>
      </c>
      <c r="AI212" s="81" t="n">
        <f aca="false">220+219</f>
        <v>439</v>
      </c>
      <c r="AJ212" s="81" t="s">
        <v>1005</v>
      </c>
      <c r="AK212" s="81" t="n">
        <f aca="false">185+194</f>
        <v>379</v>
      </c>
      <c r="AL212" s="81" t="s">
        <v>1005</v>
      </c>
      <c r="AM212" s="81" t="n">
        <f aca="false">O212+Q212+S212+U212+W212+Y212+AA212+AC212+AE212+AG212+AI212+AK212</f>
        <v>2442</v>
      </c>
    </row>
    <row collapsed="false" customFormat="false" customHeight="true" hidden="false" ht="16.2" outlineLevel="0" r="213">
      <c r="A213" s="80" t="n">
        <v>102</v>
      </c>
      <c r="B213" s="81" t="s">
        <v>197</v>
      </c>
      <c r="C213" s="82" t="s">
        <v>1033</v>
      </c>
      <c r="D213" s="82" t="s">
        <v>1034</v>
      </c>
      <c r="E213" s="83" t="s">
        <v>1035</v>
      </c>
      <c r="F213" s="84" t="s">
        <v>1036</v>
      </c>
      <c r="G213" s="85"/>
      <c r="H213" s="85"/>
      <c r="I213" s="85"/>
      <c r="J213" s="85"/>
      <c r="K213" s="86" t="s">
        <v>53</v>
      </c>
      <c r="L213" s="86" t="s">
        <v>53</v>
      </c>
      <c r="M213" s="90"/>
      <c r="N213" s="90"/>
      <c r="O213" s="90"/>
      <c r="P213" s="90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90"/>
      <c r="AF213" s="81"/>
      <c r="AG213" s="81"/>
      <c r="AH213" s="81"/>
      <c r="AI213" s="81"/>
      <c r="AJ213" s="81"/>
      <c r="AK213" s="81"/>
      <c r="AL213" s="81"/>
      <c r="AM213" s="81" t="n">
        <f aca="false">O213+Q213+S213+U213+W213+Y213+AA213+AC213+AE213+AG213+AI213+AK213</f>
        <v>0</v>
      </c>
    </row>
    <row collapsed="false" customFormat="false" customHeight="true" hidden="false" ht="16.2" outlineLevel="0" r="214">
      <c r="A214" s="80"/>
      <c r="B214" s="89"/>
      <c r="C214" s="85"/>
      <c r="D214" s="85"/>
      <c r="E214" s="83" t="s">
        <v>1037</v>
      </c>
      <c r="F214" s="84" t="s">
        <v>1036</v>
      </c>
      <c r="G214" s="85"/>
      <c r="H214" s="85"/>
      <c r="I214" s="85"/>
      <c r="J214" s="85"/>
      <c r="K214" s="86"/>
      <c r="L214" s="86"/>
      <c r="M214" s="90" t="n">
        <f aca="false">919+678</f>
        <v>1597</v>
      </c>
      <c r="N214" s="91" t="n">
        <f aca="false">1142+804</f>
        <v>1946</v>
      </c>
      <c r="O214" s="90" t="n">
        <v>212</v>
      </c>
      <c r="P214" s="90" t="s">
        <v>1005</v>
      </c>
      <c r="Q214" s="81" t="n">
        <v>231</v>
      </c>
      <c r="R214" s="90" t="s">
        <v>1005</v>
      </c>
      <c r="S214" s="81" t="n">
        <v>130</v>
      </c>
      <c r="T214" s="81" t="s">
        <v>1005</v>
      </c>
      <c r="U214" s="81" t="n">
        <v>117</v>
      </c>
      <c r="V214" s="81" t="s">
        <v>1005</v>
      </c>
      <c r="W214" s="81" t="n">
        <v>89</v>
      </c>
      <c r="X214" s="81" t="s">
        <v>1005</v>
      </c>
      <c r="Y214" s="81" t="n">
        <v>111</v>
      </c>
      <c r="Z214" s="81" t="s">
        <v>1005</v>
      </c>
      <c r="AA214" s="81" t="n">
        <v>65</v>
      </c>
      <c r="AB214" s="81" t="s">
        <v>1005</v>
      </c>
      <c r="AC214" s="81" t="n">
        <v>102</v>
      </c>
      <c r="AD214" s="81" t="s">
        <v>1005</v>
      </c>
      <c r="AE214" s="90" t="n">
        <f aca="false">73+46</f>
        <v>119</v>
      </c>
      <c r="AF214" s="81" t="s">
        <v>1005</v>
      </c>
      <c r="AG214" s="81" t="n">
        <f aca="false">85+63</f>
        <v>148</v>
      </c>
      <c r="AH214" s="81" t="s">
        <v>1005</v>
      </c>
      <c r="AI214" s="81" t="n">
        <f aca="false">145+101</f>
        <v>246</v>
      </c>
      <c r="AJ214" s="81" t="s">
        <v>1005</v>
      </c>
      <c r="AK214" s="81" t="n">
        <f aca="false">140+89</f>
        <v>229</v>
      </c>
      <c r="AL214" s="81" t="s">
        <v>1005</v>
      </c>
      <c r="AM214" s="81" t="n">
        <f aca="false">O214+Q214+S214+U214+W214+Y214+AA214+AC214+AE214+AG214+AI214+AK214</f>
        <v>1799</v>
      </c>
    </row>
    <row collapsed="false" customFormat="false" customHeight="true" hidden="false" ht="16.2" outlineLevel="0" r="215">
      <c r="A215" s="80" t="n">
        <v>103</v>
      </c>
      <c r="B215" s="81" t="s">
        <v>198</v>
      </c>
      <c r="C215" s="82" t="s">
        <v>1033</v>
      </c>
      <c r="D215" s="82" t="s">
        <v>1034</v>
      </c>
      <c r="E215" s="83" t="s">
        <v>1035</v>
      </c>
      <c r="F215" s="84" t="s">
        <v>1036</v>
      </c>
      <c r="G215" s="85"/>
      <c r="H215" s="85"/>
      <c r="I215" s="85"/>
      <c r="J215" s="85"/>
      <c r="K215" s="86" t="s">
        <v>53</v>
      </c>
      <c r="L215" s="86" t="s">
        <v>53</v>
      </c>
      <c r="M215" s="90"/>
      <c r="N215" s="90"/>
      <c r="O215" s="90"/>
      <c r="P215" s="90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90"/>
      <c r="AF215" s="81"/>
      <c r="AG215" s="81"/>
      <c r="AH215" s="81"/>
      <c r="AI215" s="81"/>
      <c r="AJ215" s="81"/>
      <c r="AK215" s="81"/>
      <c r="AL215" s="81"/>
      <c r="AM215" s="81" t="n">
        <f aca="false">O215+Q215+S215+U215+W215+Y215+AA215+AC215+AE215+AG215+AI215+AK215</f>
        <v>0</v>
      </c>
    </row>
    <row collapsed="false" customFormat="false" customHeight="true" hidden="false" ht="16.2" outlineLevel="0" r="216">
      <c r="A216" s="80"/>
      <c r="B216" s="89"/>
      <c r="C216" s="85"/>
      <c r="D216" s="85"/>
      <c r="E216" s="83" t="s">
        <v>1037</v>
      </c>
      <c r="F216" s="84" t="s">
        <v>1036</v>
      </c>
      <c r="G216" s="85"/>
      <c r="H216" s="85"/>
      <c r="I216" s="85"/>
      <c r="J216" s="85"/>
      <c r="K216" s="86"/>
      <c r="L216" s="86"/>
      <c r="M216" s="90" t="n">
        <f aca="false">610+460</f>
        <v>1070</v>
      </c>
      <c r="N216" s="91" t="n">
        <f aca="false">1205+398</f>
        <v>1603</v>
      </c>
      <c r="O216" s="90" t="n">
        <v>49</v>
      </c>
      <c r="P216" s="90" t="s">
        <v>1005</v>
      </c>
      <c r="Q216" s="81" t="n">
        <v>40</v>
      </c>
      <c r="R216" s="90" t="s">
        <v>1005</v>
      </c>
      <c r="S216" s="81" t="n">
        <v>46</v>
      </c>
      <c r="T216" s="81" t="s">
        <v>1005</v>
      </c>
      <c r="U216" s="81" t="n">
        <v>31</v>
      </c>
      <c r="V216" s="81" t="s">
        <v>1005</v>
      </c>
      <c r="W216" s="81" t="n">
        <v>18</v>
      </c>
      <c r="X216" s="81" t="s">
        <v>1005</v>
      </c>
      <c r="Y216" s="81" t="n">
        <v>11</v>
      </c>
      <c r="Z216" s="81" t="s">
        <v>1005</v>
      </c>
      <c r="AA216" s="81" t="n">
        <v>6</v>
      </c>
      <c r="AB216" s="81" t="s">
        <v>1005</v>
      </c>
      <c r="AC216" s="81" t="n">
        <v>11</v>
      </c>
      <c r="AD216" s="81" t="s">
        <v>1005</v>
      </c>
      <c r="AE216" s="90" t="n">
        <f aca="false">24+1</f>
        <v>25</v>
      </c>
      <c r="AF216" s="81" t="s">
        <v>1005</v>
      </c>
      <c r="AG216" s="81" t="n">
        <f aca="false">1+47</f>
        <v>48</v>
      </c>
      <c r="AH216" s="81" t="s">
        <v>1005</v>
      </c>
      <c r="AI216" s="81" t="n">
        <f aca="false">2+63</f>
        <v>65</v>
      </c>
      <c r="AJ216" s="81" t="s">
        <v>1005</v>
      </c>
      <c r="AK216" s="81" t="n">
        <f aca="false">50+53</f>
        <v>103</v>
      </c>
      <c r="AL216" s="81" t="s">
        <v>1005</v>
      </c>
      <c r="AM216" s="81" t="n">
        <f aca="false">O216+Q216+S216+U216+W216+Y216+AA216+AC216+AE216+AG216+AI216+AK216</f>
        <v>453</v>
      </c>
    </row>
    <row collapsed="false" customFormat="false" customHeight="true" hidden="false" ht="16.2" outlineLevel="0" r="217">
      <c r="A217" s="80" t="n">
        <v>104</v>
      </c>
      <c r="B217" s="81" t="s">
        <v>199</v>
      </c>
      <c r="C217" s="82" t="s">
        <v>1033</v>
      </c>
      <c r="D217" s="82" t="s">
        <v>1034</v>
      </c>
      <c r="E217" s="83" t="s">
        <v>1035</v>
      </c>
      <c r="F217" s="84" t="s">
        <v>1036</v>
      </c>
      <c r="G217" s="85"/>
      <c r="H217" s="85"/>
      <c r="I217" s="85"/>
      <c r="J217" s="85"/>
      <c r="K217" s="86" t="s">
        <v>53</v>
      </c>
      <c r="L217" s="86" t="s">
        <v>53</v>
      </c>
      <c r="M217" s="90"/>
      <c r="N217" s="90"/>
      <c r="O217" s="90"/>
      <c r="P217" s="90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90"/>
      <c r="AF217" s="81"/>
      <c r="AG217" s="81"/>
      <c r="AH217" s="81"/>
      <c r="AI217" s="81"/>
      <c r="AJ217" s="81"/>
      <c r="AK217" s="81"/>
      <c r="AL217" s="81"/>
      <c r="AM217" s="81" t="n">
        <f aca="false">O217+Q217+S217+U217+W217+Y217+AA217+AC217+AE217+AG217+AI217+AK217</f>
        <v>0</v>
      </c>
    </row>
    <row collapsed="false" customFormat="false" customHeight="true" hidden="false" ht="16.2" outlineLevel="0" r="218">
      <c r="A218" s="80"/>
      <c r="B218" s="89"/>
      <c r="C218" s="85"/>
      <c r="D218" s="85"/>
      <c r="E218" s="83" t="s">
        <v>1037</v>
      </c>
      <c r="F218" s="84" t="s">
        <v>1036</v>
      </c>
      <c r="G218" s="85"/>
      <c r="H218" s="85"/>
      <c r="I218" s="85"/>
      <c r="J218" s="85"/>
      <c r="K218" s="86"/>
      <c r="L218" s="86"/>
      <c r="M218" s="90" t="n">
        <f aca="false">580+648</f>
        <v>1228</v>
      </c>
      <c r="N218" s="91" t="n">
        <f aca="false">415+600</f>
        <v>1015</v>
      </c>
      <c r="O218" s="90" t="n">
        <v>155</v>
      </c>
      <c r="P218" s="90" t="s">
        <v>1005</v>
      </c>
      <c r="Q218" s="81" t="n">
        <v>139</v>
      </c>
      <c r="R218" s="90" t="s">
        <v>1005</v>
      </c>
      <c r="S218" s="81" t="n">
        <v>75</v>
      </c>
      <c r="T218" s="81" t="s">
        <v>1005</v>
      </c>
      <c r="U218" s="81" t="n">
        <v>103</v>
      </c>
      <c r="V218" s="81" t="s">
        <v>1005</v>
      </c>
      <c r="W218" s="81" t="n">
        <v>33</v>
      </c>
      <c r="X218" s="81" t="s">
        <v>1005</v>
      </c>
      <c r="Y218" s="81" t="n">
        <v>14</v>
      </c>
      <c r="Z218" s="81" t="s">
        <v>1005</v>
      </c>
      <c r="AA218" s="81" t="n">
        <v>31</v>
      </c>
      <c r="AB218" s="81" t="s">
        <v>1005</v>
      </c>
      <c r="AC218" s="81" t="n">
        <v>70</v>
      </c>
      <c r="AD218" s="81" t="s">
        <v>1005</v>
      </c>
      <c r="AE218" s="90" t="n">
        <f aca="false">14+42</f>
        <v>56</v>
      </c>
      <c r="AF218" s="81" t="s">
        <v>1005</v>
      </c>
      <c r="AG218" s="81" t="n">
        <f aca="false">26+42</f>
        <v>68</v>
      </c>
      <c r="AH218" s="81" t="s">
        <v>1005</v>
      </c>
      <c r="AI218" s="81" t="n">
        <f aca="false">60+63</f>
        <v>123</v>
      </c>
      <c r="AJ218" s="81" t="s">
        <v>1005</v>
      </c>
      <c r="AK218" s="81" t="n">
        <f aca="false">101+81</f>
        <v>182</v>
      </c>
      <c r="AL218" s="81" t="s">
        <v>1005</v>
      </c>
      <c r="AM218" s="81" t="n">
        <f aca="false">O218+Q218+S218+U218+W218+Y218+AA218+AC218+AE218+AG218+AI218+AK218</f>
        <v>1049</v>
      </c>
    </row>
    <row collapsed="false" customFormat="false" customHeight="true" hidden="false" ht="16.2" outlineLevel="0" r="219">
      <c r="A219" s="80" t="n">
        <v>105</v>
      </c>
      <c r="B219" s="81" t="s">
        <v>200</v>
      </c>
      <c r="C219" s="82" t="s">
        <v>1033</v>
      </c>
      <c r="D219" s="82" t="s">
        <v>1034</v>
      </c>
      <c r="E219" s="83" t="s">
        <v>1035</v>
      </c>
      <c r="F219" s="84" t="s">
        <v>1036</v>
      </c>
      <c r="G219" s="85"/>
      <c r="H219" s="85"/>
      <c r="I219" s="85"/>
      <c r="J219" s="85"/>
      <c r="K219" s="86" t="s">
        <v>53</v>
      </c>
      <c r="L219" s="86" t="s">
        <v>53</v>
      </c>
      <c r="M219" s="90"/>
      <c r="N219" s="90"/>
      <c r="O219" s="90"/>
      <c r="P219" s="90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90"/>
      <c r="AF219" s="81"/>
      <c r="AG219" s="81"/>
      <c r="AH219" s="81"/>
      <c r="AI219" s="81"/>
      <c r="AJ219" s="81"/>
      <c r="AK219" s="81"/>
      <c r="AL219" s="81"/>
      <c r="AM219" s="81" t="n">
        <f aca="false">O219+Q219+S219+U219+W219+Y219+AA219+AC219+AE219+AG219+AI219+AK219</f>
        <v>0</v>
      </c>
    </row>
    <row collapsed="false" customFormat="false" customHeight="true" hidden="false" ht="16.2" outlineLevel="0" r="220">
      <c r="A220" s="80"/>
      <c r="B220" s="89"/>
      <c r="C220" s="85"/>
      <c r="D220" s="85"/>
      <c r="E220" s="83" t="s">
        <v>1037</v>
      </c>
      <c r="F220" s="84" t="s">
        <v>1036</v>
      </c>
      <c r="G220" s="85"/>
      <c r="H220" s="85"/>
      <c r="I220" s="85"/>
      <c r="J220" s="85"/>
      <c r="K220" s="86"/>
      <c r="L220" s="86"/>
      <c r="M220" s="90" t="n">
        <f aca="false">1182+1219</f>
        <v>2401</v>
      </c>
      <c r="N220" s="91" t="n">
        <f aca="false">1147+1189</f>
        <v>2336</v>
      </c>
      <c r="O220" s="90" t="n">
        <v>235</v>
      </c>
      <c r="P220" s="90" t="s">
        <v>1005</v>
      </c>
      <c r="Q220" s="81" t="n">
        <v>284</v>
      </c>
      <c r="R220" s="90" t="s">
        <v>1005</v>
      </c>
      <c r="S220" s="81" t="n">
        <v>208</v>
      </c>
      <c r="T220" s="81" t="s">
        <v>1005</v>
      </c>
      <c r="U220" s="81" t="n">
        <v>212</v>
      </c>
      <c r="V220" s="81" t="s">
        <v>1005</v>
      </c>
      <c r="W220" s="81" t="n">
        <v>94</v>
      </c>
      <c r="X220" s="81" t="s">
        <v>1005</v>
      </c>
      <c r="Y220" s="81" t="n">
        <v>116</v>
      </c>
      <c r="Z220" s="81" t="s">
        <v>1005</v>
      </c>
      <c r="AA220" s="81" t="n">
        <v>77</v>
      </c>
      <c r="AB220" s="81" t="s">
        <v>1005</v>
      </c>
      <c r="AC220" s="81" t="n">
        <v>115</v>
      </c>
      <c r="AD220" s="81" t="s">
        <v>1005</v>
      </c>
      <c r="AE220" s="90" t="n">
        <f aca="false">52+73</f>
        <v>125</v>
      </c>
      <c r="AF220" s="81" t="s">
        <v>1005</v>
      </c>
      <c r="AG220" s="81" t="n">
        <f aca="false">98+101</f>
        <v>199</v>
      </c>
      <c r="AH220" s="81" t="s">
        <v>1005</v>
      </c>
      <c r="AI220" s="81" t="n">
        <f aca="false">176+138</f>
        <v>314</v>
      </c>
      <c r="AJ220" s="81" t="s">
        <v>1005</v>
      </c>
      <c r="AK220" s="81" t="n">
        <f aca="false">177+116</f>
        <v>293</v>
      </c>
      <c r="AL220" s="81" t="s">
        <v>1005</v>
      </c>
      <c r="AM220" s="81" t="n">
        <f aca="false">O220+Q220+S220+U220+W220+Y220+AA220+AC220+AE220+AG220+AI220+AK220</f>
        <v>2272</v>
      </c>
    </row>
    <row collapsed="false" customFormat="false" customHeight="true" hidden="false" ht="16.2" outlineLevel="0" r="221">
      <c r="A221" s="80" t="n">
        <v>106</v>
      </c>
      <c r="B221" s="81" t="s">
        <v>201</v>
      </c>
      <c r="C221" s="82" t="s">
        <v>1033</v>
      </c>
      <c r="D221" s="82" t="s">
        <v>1034</v>
      </c>
      <c r="E221" s="83" t="s">
        <v>1035</v>
      </c>
      <c r="F221" s="84" t="s">
        <v>1036</v>
      </c>
      <c r="G221" s="85"/>
      <c r="H221" s="85"/>
      <c r="I221" s="85"/>
      <c r="J221" s="85"/>
      <c r="K221" s="86" t="s">
        <v>53</v>
      </c>
      <c r="L221" s="86" t="s">
        <v>53</v>
      </c>
      <c r="M221" s="90"/>
      <c r="N221" s="90"/>
      <c r="O221" s="90"/>
      <c r="P221" s="90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90"/>
      <c r="AF221" s="81"/>
      <c r="AG221" s="81"/>
      <c r="AH221" s="81"/>
      <c r="AI221" s="81"/>
      <c r="AJ221" s="81"/>
      <c r="AK221" s="81"/>
      <c r="AL221" s="81"/>
      <c r="AM221" s="81" t="n">
        <f aca="false">O221+Q221+S221+U221+W221+Y221+AA221+AC221+AE221+AG221+AI221+AK221</f>
        <v>0</v>
      </c>
    </row>
    <row collapsed="false" customFormat="false" customHeight="true" hidden="false" ht="16.2" outlineLevel="0" r="222">
      <c r="A222" s="80"/>
      <c r="B222" s="89"/>
      <c r="C222" s="85"/>
      <c r="D222" s="85"/>
      <c r="E222" s="83" t="s">
        <v>1037</v>
      </c>
      <c r="F222" s="84" t="s">
        <v>1036</v>
      </c>
      <c r="G222" s="85"/>
      <c r="H222" s="85"/>
      <c r="I222" s="85"/>
      <c r="J222" s="85"/>
      <c r="K222" s="86"/>
      <c r="L222" s="86"/>
      <c r="M222" s="90" t="n">
        <f aca="false">702+592</f>
        <v>1294</v>
      </c>
      <c r="N222" s="91" t="n">
        <f aca="false">842+656</f>
        <v>1498</v>
      </c>
      <c r="O222" s="90" t="n">
        <v>216</v>
      </c>
      <c r="P222" s="90" t="s">
        <v>1005</v>
      </c>
      <c r="Q222" s="81" t="n">
        <v>203</v>
      </c>
      <c r="R222" s="90" t="s">
        <v>1005</v>
      </c>
      <c r="S222" s="81" t="n">
        <v>142</v>
      </c>
      <c r="T222" s="81" t="s">
        <v>1005</v>
      </c>
      <c r="U222" s="81" t="n">
        <v>117</v>
      </c>
      <c r="V222" s="81" t="s">
        <v>1005</v>
      </c>
      <c r="W222" s="81" t="n">
        <v>68</v>
      </c>
      <c r="X222" s="81" t="s">
        <v>1005</v>
      </c>
      <c r="Y222" s="81" t="n">
        <v>56</v>
      </c>
      <c r="Z222" s="81" t="s">
        <v>1005</v>
      </c>
      <c r="AA222" s="81" t="n">
        <v>32</v>
      </c>
      <c r="AB222" s="81" t="s">
        <v>1005</v>
      </c>
      <c r="AC222" s="81" t="n">
        <v>51</v>
      </c>
      <c r="AD222" s="81" t="s">
        <v>1005</v>
      </c>
      <c r="AE222" s="90" t="n">
        <f aca="false">32+46</f>
        <v>78</v>
      </c>
      <c r="AF222" s="81" t="s">
        <v>1005</v>
      </c>
      <c r="AG222" s="81" t="n">
        <f aca="false">49+51</f>
        <v>100</v>
      </c>
      <c r="AH222" s="81" t="s">
        <v>1005</v>
      </c>
      <c r="AI222" s="81" t="n">
        <f aca="false">110+65</f>
        <v>175</v>
      </c>
      <c r="AJ222" s="81" t="s">
        <v>1005</v>
      </c>
      <c r="AK222" s="81" t="n">
        <f aca="false">128+66</f>
        <v>194</v>
      </c>
      <c r="AL222" s="81" t="s">
        <v>1005</v>
      </c>
      <c r="AM222" s="81" t="n">
        <f aca="false">O222+Q222+S222+U222+W222+Y222+AA222+AC222+AE222+AG222+AI222+AK222</f>
        <v>1432</v>
      </c>
    </row>
    <row collapsed="false" customFormat="false" customHeight="true" hidden="false" ht="16.2" outlineLevel="0" r="223">
      <c r="A223" s="80" t="n">
        <v>107</v>
      </c>
      <c r="B223" s="81" t="s">
        <v>202</v>
      </c>
      <c r="C223" s="82" t="s">
        <v>1033</v>
      </c>
      <c r="D223" s="82" t="s">
        <v>1034</v>
      </c>
      <c r="E223" s="83" t="s">
        <v>1035</v>
      </c>
      <c r="F223" s="84" t="s">
        <v>1036</v>
      </c>
      <c r="G223" s="85"/>
      <c r="H223" s="85"/>
      <c r="I223" s="85"/>
      <c r="J223" s="85"/>
      <c r="K223" s="86" t="s">
        <v>53</v>
      </c>
      <c r="L223" s="86" t="s">
        <v>53</v>
      </c>
      <c r="M223" s="90"/>
      <c r="N223" s="90"/>
      <c r="O223" s="90"/>
      <c r="P223" s="90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90"/>
      <c r="AF223" s="81"/>
      <c r="AG223" s="81"/>
      <c r="AH223" s="81"/>
      <c r="AI223" s="81"/>
      <c r="AJ223" s="81"/>
      <c r="AK223" s="81"/>
      <c r="AL223" s="81"/>
      <c r="AM223" s="81" t="n">
        <f aca="false">O223+Q223+S223+U223+W223+Y223+AA223+AC223+AE223+AG223+AI223+AK223</f>
        <v>0</v>
      </c>
    </row>
    <row collapsed="false" customFormat="false" customHeight="true" hidden="false" ht="16.2" outlineLevel="0" r="224">
      <c r="A224" s="80"/>
      <c r="B224" s="89"/>
      <c r="C224" s="85"/>
      <c r="D224" s="85"/>
      <c r="E224" s="83" t="s">
        <v>1037</v>
      </c>
      <c r="F224" s="84" t="s">
        <v>1036</v>
      </c>
      <c r="G224" s="85"/>
      <c r="H224" s="85"/>
      <c r="I224" s="85"/>
      <c r="J224" s="85"/>
      <c r="K224" s="86"/>
      <c r="L224" s="86"/>
      <c r="M224" s="90" t="n">
        <f aca="false">540+408</f>
        <v>948</v>
      </c>
      <c r="N224" s="91" t="n">
        <f aca="false">839+616</f>
        <v>1455</v>
      </c>
      <c r="O224" s="90" t="n">
        <v>103</v>
      </c>
      <c r="P224" s="90" t="s">
        <v>1005</v>
      </c>
      <c r="Q224" s="81" t="n">
        <v>89</v>
      </c>
      <c r="R224" s="90" t="s">
        <v>1005</v>
      </c>
      <c r="S224" s="81" t="n">
        <v>59</v>
      </c>
      <c r="T224" s="81" t="s">
        <v>1005</v>
      </c>
      <c r="U224" s="81" t="n">
        <v>71</v>
      </c>
      <c r="V224" s="81" t="s">
        <v>1005</v>
      </c>
      <c r="W224" s="81" t="n">
        <v>46</v>
      </c>
      <c r="X224" s="81" t="s">
        <v>1005</v>
      </c>
      <c r="Y224" s="81" t="n">
        <v>65</v>
      </c>
      <c r="Z224" s="81" t="s">
        <v>1005</v>
      </c>
      <c r="AA224" s="81" t="n">
        <v>109</v>
      </c>
      <c r="AB224" s="81" t="s">
        <v>1005</v>
      </c>
      <c r="AC224" s="81" t="n">
        <v>122</v>
      </c>
      <c r="AD224" s="81" t="s">
        <v>1005</v>
      </c>
      <c r="AE224" s="90" t="n">
        <f aca="false">53+42</f>
        <v>95</v>
      </c>
      <c r="AF224" s="81" t="s">
        <v>1005</v>
      </c>
      <c r="AG224" s="81" t="n">
        <f aca="false">63+49</f>
        <v>112</v>
      </c>
      <c r="AH224" s="81" t="s">
        <v>1005</v>
      </c>
      <c r="AI224" s="81" t="n">
        <f aca="false">98+65</f>
        <v>163</v>
      </c>
      <c r="AJ224" s="81" t="s">
        <v>1005</v>
      </c>
      <c r="AK224" s="81" t="n">
        <f aca="false">99+61</f>
        <v>160</v>
      </c>
      <c r="AL224" s="81" t="s">
        <v>1005</v>
      </c>
      <c r="AM224" s="81" t="n">
        <f aca="false">O224+Q224+S224+U224+W224+Y224+AA224+AC224+AE224+AG224+AI224+AK224</f>
        <v>1194</v>
      </c>
    </row>
    <row collapsed="false" customFormat="false" customHeight="true" hidden="false" ht="16.2" outlineLevel="0" r="225">
      <c r="A225" s="80" t="n">
        <v>108</v>
      </c>
      <c r="B225" s="81" t="s">
        <v>203</v>
      </c>
      <c r="C225" s="82" t="s">
        <v>1033</v>
      </c>
      <c r="D225" s="82" t="s">
        <v>1034</v>
      </c>
      <c r="E225" s="83" t="s">
        <v>1035</v>
      </c>
      <c r="F225" s="84" t="s">
        <v>1036</v>
      </c>
      <c r="G225" s="85"/>
      <c r="H225" s="85"/>
      <c r="I225" s="85"/>
      <c r="J225" s="85"/>
      <c r="K225" s="86" t="s">
        <v>53</v>
      </c>
      <c r="L225" s="86" t="s">
        <v>53</v>
      </c>
      <c r="M225" s="90"/>
      <c r="N225" s="90"/>
      <c r="O225" s="90"/>
      <c r="P225" s="90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90"/>
      <c r="AF225" s="81"/>
      <c r="AG225" s="81"/>
      <c r="AH225" s="81"/>
      <c r="AI225" s="81"/>
      <c r="AJ225" s="81"/>
      <c r="AK225" s="81"/>
      <c r="AL225" s="81"/>
      <c r="AM225" s="81" t="n">
        <f aca="false">O225+Q225+S225+U225+W225+Y225+AA225+AC225+AE225+AG225+AI225+AK225</f>
        <v>0</v>
      </c>
    </row>
    <row collapsed="false" customFormat="false" customHeight="true" hidden="false" ht="16.2" outlineLevel="0" r="226">
      <c r="A226" s="80"/>
      <c r="B226" s="89"/>
      <c r="C226" s="85"/>
      <c r="D226" s="85"/>
      <c r="E226" s="83" t="s">
        <v>1037</v>
      </c>
      <c r="F226" s="84" t="s">
        <v>1036</v>
      </c>
      <c r="G226" s="85"/>
      <c r="H226" s="85"/>
      <c r="I226" s="85"/>
      <c r="J226" s="85"/>
      <c r="K226" s="86"/>
      <c r="L226" s="86"/>
      <c r="M226" s="90" t="n">
        <f aca="false">1027+681</f>
        <v>1708</v>
      </c>
      <c r="N226" s="91" t="n">
        <f aca="false">1216+843</f>
        <v>2059</v>
      </c>
      <c r="O226" s="90" t="n">
        <v>240</v>
      </c>
      <c r="P226" s="90" t="s">
        <v>1005</v>
      </c>
      <c r="Q226" s="81" t="n">
        <v>249</v>
      </c>
      <c r="R226" s="90" t="s">
        <v>1005</v>
      </c>
      <c r="S226" s="81" t="n">
        <v>161</v>
      </c>
      <c r="T226" s="81" t="s">
        <v>1005</v>
      </c>
      <c r="U226" s="81" t="n">
        <v>220</v>
      </c>
      <c r="V226" s="81" t="s">
        <v>1005</v>
      </c>
      <c r="W226" s="81" t="n">
        <v>195</v>
      </c>
      <c r="X226" s="81" t="s">
        <v>1005</v>
      </c>
      <c r="Y226" s="81" t="n">
        <v>163</v>
      </c>
      <c r="Z226" s="81" t="s">
        <v>1005</v>
      </c>
      <c r="AA226" s="81" t="n">
        <v>113</v>
      </c>
      <c r="AB226" s="81" t="s">
        <v>1005</v>
      </c>
      <c r="AC226" s="81" t="n">
        <v>151</v>
      </c>
      <c r="AD226" s="81" t="s">
        <v>1005</v>
      </c>
      <c r="AE226" s="90" t="n">
        <f aca="false">80+74</f>
        <v>154</v>
      </c>
      <c r="AF226" s="81" t="s">
        <v>1005</v>
      </c>
      <c r="AG226" s="81" t="n">
        <f aca="false">111+72</f>
        <v>183</v>
      </c>
      <c r="AH226" s="81" t="s">
        <v>1005</v>
      </c>
      <c r="AI226" s="81" t="n">
        <f aca="false">168+99</f>
        <v>267</v>
      </c>
      <c r="AJ226" s="81" t="s">
        <v>1005</v>
      </c>
      <c r="AK226" s="81" t="n">
        <f aca="false">158+88</f>
        <v>246</v>
      </c>
      <c r="AL226" s="81" t="s">
        <v>1005</v>
      </c>
      <c r="AM226" s="81" t="n">
        <f aca="false">O226+Q226+S226+U226+W226+Y226+AA226+AC226+AE226+AG226+AI226+AK226</f>
        <v>2342</v>
      </c>
    </row>
    <row collapsed="false" customFormat="false" customHeight="true" hidden="false" ht="16.2" outlineLevel="0" r="227">
      <c r="A227" s="80" t="n">
        <v>109</v>
      </c>
      <c r="B227" s="81" t="s">
        <v>204</v>
      </c>
      <c r="C227" s="82" t="s">
        <v>1033</v>
      </c>
      <c r="D227" s="82" t="s">
        <v>1034</v>
      </c>
      <c r="E227" s="83" t="s">
        <v>1035</v>
      </c>
      <c r="F227" s="84" t="s">
        <v>1036</v>
      </c>
      <c r="G227" s="85"/>
      <c r="H227" s="85"/>
      <c r="I227" s="85"/>
      <c r="J227" s="85"/>
      <c r="K227" s="86" t="s">
        <v>53</v>
      </c>
      <c r="L227" s="86" t="s">
        <v>53</v>
      </c>
      <c r="M227" s="90"/>
      <c r="N227" s="90"/>
      <c r="O227" s="90"/>
      <c r="P227" s="90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90"/>
      <c r="AF227" s="81"/>
      <c r="AG227" s="81"/>
      <c r="AH227" s="81"/>
      <c r="AI227" s="81"/>
      <c r="AJ227" s="81"/>
      <c r="AK227" s="81"/>
      <c r="AL227" s="81"/>
      <c r="AM227" s="81" t="n">
        <f aca="false">O227+Q227+S227+U227+W227+Y227+AA227+AC227+AE227+AG227+AI227+AK227</f>
        <v>0</v>
      </c>
    </row>
    <row collapsed="false" customFormat="false" customHeight="true" hidden="false" ht="16.2" outlineLevel="0" r="228">
      <c r="A228" s="80"/>
      <c r="B228" s="89"/>
      <c r="C228" s="85"/>
      <c r="D228" s="85"/>
      <c r="E228" s="83" t="s">
        <v>1037</v>
      </c>
      <c r="F228" s="84" t="s">
        <v>1036</v>
      </c>
      <c r="G228" s="85"/>
      <c r="H228" s="85"/>
      <c r="I228" s="85"/>
      <c r="J228" s="85"/>
      <c r="K228" s="86"/>
      <c r="L228" s="86"/>
      <c r="M228" s="90" t="n">
        <f aca="false">2032+2087</f>
        <v>4119</v>
      </c>
      <c r="N228" s="91" t="n">
        <f aca="false">2032+2046</f>
        <v>4078</v>
      </c>
      <c r="O228" s="90" t="n">
        <v>546</v>
      </c>
      <c r="P228" s="90" t="s">
        <v>1005</v>
      </c>
      <c r="Q228" s="81" t="n">
        <v>460</v>
      </c>
      <c r="R228" s="90" t="s">
        <v>1005</v>
      </c>
      <c r="S228" s="81" t="n">
        <v>323</v>
      </c>
      <c r="T228" s="81" t="s">
        <v>1005</v>
      </c>
      <c r="U228" s="81" t="n">
        <v>296</v>
      </c>
      <c r="V228" s="81" t="s">
        <v>1005</v>
      </c>
      <c r="W228" s="81" t="n">
        <v>159</v>
      </c>
      <c r="X228" s="81" t="s">
        <v>1005</v>
      </c>
      <c r="Y228" s="81" t="n">
        <v>130</v>
      </c>
      <c r="Z228" s="81" t="s">
        <v>1005</v>
      </c>
      <c r="AA228" s="81" t="n">
        <v>95</v>
      </c>
      <c r="AB228" s="81" t="s">
        <v>1005</v>
      </c>
      <c r="AC228" s="81" t="n">
        <v>136</v>
      </c>
      <c r="AD228" s="81" t="s">
        <v>1005</v>
      </c>
      <c r="AE228" s="90" t="n">
        <f aca="false">90+132</f>
        <v>222</v>
      </c>
      <c r="AF228" s="81" t="s">
        <v>1005</v>
      </c>
      <c r="AG228" s="81" t="n">
        <f aca="false">179+193</f>
        <v>372</v>
      </c>
      <c r="AH228" s="81" t="s">
        <v>1005</v>
      </c>
      <c r="AI228" s="81" t="n">
        <f aca="false">333+282</f>
        <v>615</v>
      </c>
      <c r="AJ228" s="81" t="s">
        <v>1005</v>
      </c>
      <c r="AK228" s="81" t="n">
        <f aca="false">315+234</f>
        <v>549</v>
      </c>
      <c r="AL228" s="81" t="s">
        <v>1005</v>
      </c>
      <c r="AM228" s="81" t="n">
        <f aca="false">O228+Q228+S228+U228+W228+Y228+AA228+AC228+AE228+AG228+AI228+AK228</f>
        <v>3903</v>
      </c>
    </row>
    <row collapsed="false" customFormat="false" customHeight="true" hidden="false" ht="16.2" outlineLevel="0" r="229">
      <c r="A229" s="80" t="n">
        <v>110</v>
      </c>
      <c r="B229" s="81" t="s">
        <v>205</v>
      </c>
      <c r="C229" s="82" t="s">
        <v>1033</v>
      </c>
      <c r="D229" s="82" t="s">
        <v>1034</v>
      </c>
      <c r="E229" s="83" t="s">
        <v>1035</v>
      </c>
      <c r="F229" s="84" t="s">
        <v>1036</v>
      </c>
      <c r="G229" s="85"/>
      <c r="H229" s="85"/>
      <c r="I229" s="85"/>
      <c r="J229" s="85"/>
      <c r="K229" s="86" t="s">
        <v>53</v>
      </c>
      <c r="L229" s="86" t="s">
        <v>53</v>
      </c>
      <c r="M229" s="90"/>
      <c r="N229" s="90"/>
      <c r="O229" s="90"/>
      <c r="P229" s="90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90"/>
      <c r="AF229" s="81"/>
      <c r="AG229" s="81"/>
      <c r="AH229" s="81"/>
      <c r="AI229" s="81"/>
      <c r="AJ229" s="81"/>
      <c r="AK229" s="81"/>
      <c r="AL229" s="81"/>
      <c r="AM229" s="81" t="n">
        <f aca="false">O229+Q229+S229+U229+W229+Y229+AA229+AC229+AE229+AG229+AI229+AK229</f>
        <v>0</v>
      </c>
    </row>
    <row collapsed="false" customFormat="false" customHeight="true" hidden="false" ht="16.2" outlineLevel="0" r="230">
      <c r="A230" s="80"/>
      <c r="B230" s="89"/>
      <c r="C230" s="85"/>
      <c r="D230" s="85"/>
      <c r="E230" s="83" t="s">
        <v>1037</v>
      </c>
      <c r="F230" s="84" t="s">
        <v>1036</v>
      </c>
      <c r="G230" s="85"/>
      <c r="H230" s="85"/>
      <c r="I230" s="85"/>
      <c r="J230" s="85"/>
      <c r="K230" s="86"/>
      <c r="L230" s="86"/>
      <c r="M230" s="90" t="n">
        <f aca="false">2202+2129</f>
        <v>4331</v>
      </c>
      <c r="N230" s="91" t="n">
        <f aca="false">2388+2605</f>
        <v>4993</v>
      </c>
      <c r="O230" s="90" t="n">
        <v>573</v>
      </c>
      <c r="P230" s="90" t="s">
        <v>1005</v>
      </c>
      <c r="Q230" s="81" t="n">
        <v>546</v>
      </c>
      <c r="R230" s="90" t="s">
        <v>1005</v>
      </c>
      <c r="S230" s="81" t="n">
        <v>332</v>
      </c>
      <c r="T230" s="81" t="s">
        <v>1005</v>
      </c>
      <c r="U230" s="81" t="n">
        <v>406</v>
      </c>
      <c r="V230" s="81" t="s">
        <v>1005</v>
      </c>
      <c r="W230" s="81" t="n">
        <v>318</v>
      </c>
      <c r="X230" s="81" t="s">
        <v>1005</v>
      </c>
      <c r="Y230" s="81" t="n">
        <v>246</v>
      </c>
      <c r="Z230" s="81" t="s">
        <v>1005</v>
      </c>
      <c r="AA230" s="81" t="n">
        <v>198</v>
      </c>
      <c r="AB230" s="81" t="s">
        <v>1005</v>
      </c>
      <c r="AC230" s="81" t="n">
        <v>281</v>
      </c>
      <c r="AD230" s="81" t="s">
        <v>1005</v>
      </c>
      <c r="AE230" s="90" t="n">
        <f aca="false">121+152</f>
        <v>273</v>
      </c>
      <c r="AF230" s="81" t="s">
        <v>1005</v>
      </c>
      <c r="AG230" s="81" t="n">
        <f aca="false">179+172</f>
        <v>351</v>
      </c>
      <c r="AH230" s="81" t="s">
        <v>1005</v>
      </c>
      <c r="AI230" s="81" t="n">
        <f aca="false">314+237</f>
        <v>551</v>
      </c>
      <c r="AJ230" s="81" t="s">
        <v>1005</v>
      </c>
      <c r="AK230" s="81" t="n">
        <f aca="false">352+237</f>
        <v>589</v>
      </c>
      <c r="AL230" s="81" t="s">
        <v>1005</v>
      </c>
      <c r="AM230" s="81" t="n">
        <f aca="false">O230+Q230+S230+U230+W230+Y230+AA230+AC230+AE230+AG230+AI230+AK230</f>
        <v>4664</v>
      </c>
    </row>
    <row collapsed="false" customFormat="false" customHeight="true" hidden="false" ht="16.2" outlineLevel="0" r="231">
      <c r="A231" s="80" t="n">
        <v>111</v>
      </c>
      <c r="B231" s="100" t="s">
        <v>208</v>
      </c>
      <c r="C231" s="82" t="s">
        <v>1033</v>
      </c>
      <c r="D231" s="92" t="s">
        <v>1056</v>
      </c>
      <c r="E231" s="83" t="s">
        <v>1035</v>
      </c>
      <c r="F231" s="49" t="s">
        <v>1036</v>
      </c>
      <c r="G231" s="92"/>
      <c r="H231" s="92"/>
      <c r="I231" s="92"/>
      <c r="J231" s="92"/>
      <c r="K231" s="93"/>
      <c r="L231" s="93"/>
      <c r="M231" s="94"/>
      <c r="N231" s="94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</row>
    <row collapsed="false" customFormat="false" customHeight="true" hidden="false" ht="16.2" outlineLevel="0" r="232">
      <c r="A232" s="80"/>
      <c r="B232" s="101"/>
      <c r="C232" s="85"/>
      <c r="D232" s="92"/>
      <c r="E232" s="83" t="s">
        <v>1037</v>
      </c>
      <c r="F232" s="49" t="s">
        <v>1036</v>
      </c>
      <c r="G232" s="85" t="s">
        <v>1057</v>
      </c>
      <c r="H232" s="85" t="n">
        <v>6</v>
      </c>
      <c r="I232" s="85"/>
      <c r="J232" s="85"/>
      <c r="K232" s="93" t="s">
        <v>53</v>
      </c>
      <c r="L232" s="93" t="s">
        <v>53</v>
      </c>
      <c r="M232" s="81" t="n">
        <v>1324</v>
      </c>
      <c r="N232" s="81" t="n">
        <v>1778</v>
      </c>
      <c r="O232" s="81" t="n">
        <v>189</v>
      </c>
      <c r="P232" s="95" t="s">
        <v>1005</v>
      </c>
      <c r="Q232" s="81" t="n">
        <v>243</v>
      </c>
      <c r="R232" s="95" t="s">
        <v>1005</v>
      </c>
      <c r="S232" s="81" t="n">
        <v>130</v>
      </c>
      <c r="T232" s="95" t="s">
        <v>1005</v>
      </c>
      <c r="U232" s="81" t="n">
        <v>204</v>
      </c>
      <c r="V232" s="95" t="s">
        <v>1005</v>
      </c>
      <c r="W232" s="81" t="n">
        <v>100</v>
      </c>
      <c r="X232" s="95" t="s">
        <v>1005</v>
      </c>
      <c r="Y232" s="81" t="n">
        <v>57</v>
      </c>
      <c r="Z232" s="95" t="s">
        <v>1005</v>
      </c>
      <c r="AA232" s="81" t="n">
        <f aca="false">24+28</f>
        <v>52</v>
      </c>
      <c r="AB232" s="95" t="s">
        <v>1005</v>
      </c>
      <c r="AC232" s="81" t="n">
        <v>69</v>
      </c>
      <c r="AD232" s="95" t="s">
        <v>1005</v>
      </c>
      <c r="AE232" s="81" t="n">
        <v>69</v>
      </c>
      <c r="AF232" s="95" t="s">
        <v>1005</v>
      </c>
      <c r="AG232" s="81" t="n">
        <v>188</v>
      </c>
      <c r="AH232" s="95" t="s">
        <v>1005</v>
      </c>
      <c r="AI232" s="81" t="n">
        <v>208</v>
      </c>
      <c r="AJ232" s="95" t="s">
        <v>1005</v>
      </c>
      <c r="AK232" s="81" t="n">
        <v>204</v>
      </c>
      <c r="AL232" s="95" t="s">
        <v>1005</v>
      </c>
      <c r="AM232" s="81" t="n">
        <f aca="false">O232+Q232+S232+U232+W232+Y232+AA232+AC232+AE232+AG232+AI232+AK232</f>
        <v>1713</v>
      </c>
    </row>
    <row collapsed="false" customFormat="false" customHeight="true" hidden="false" ht="16.2" outlineLevel="0" r="233">
      <c r="A233" s="80" t="n">
        <v>112</v>
      </c>
      <c r="B233" s="100" t="s">
        <v>209</v>
      </c>
      <c r="C233" s="82" t="s">
        <v>1033</v>
      </c>
      <c r="D233" s="92" t="s">
        <v>1056</v>
      </c>
      <c r="E233" s="83" t="s">
        <v>1035</v>
      </c>
      <c r="F233" s="49" t="s">
        <v>1036</v>
      </c>
      <c r="G233" s="92"/>
      <c r="H233" s="85"/>
      <c r="I233" s="85"/>
      <c r="J233" s="85"/>
      <c r="K233" s="93"/>
      <c r="L233" s="93"/>
      <c r="M233" s="81"/>
      <c r="N233" s="81"/>
      <c r="O233" s="81"/>
      <c r="P233" s="95"/>
      <c r="Q233" s="81"/>
      <c r="R233" s="95"/>
      <c r="S233" s="81"/>
      <c r="T233" s="95"/>
      <c r="U233" s="81"/>
      <c r="V233" s="95"/>
      <c r="W233" s="81"/>
      <c r="X233" s="95"/>
      <c r="Y233" s="81"/>
      <c r="Z233" s="95"/>
      <c r="AA233" s="81"/>
      <c r="AB233" s="95"/>
      <c r="AC233" s="81"/>
      <c r="AD233" s="95"/>
      <c r="AE233" s="81"/>
      <c r="AF233" s="95"/>
      <c r="AG233" s="81"/>
      <c r="AH233" s="95"/>
      <c r="AI233" s="81"/>
      <c r="AJ233" s="95"/>
      <c r="AK233" s="81"/>
      <c r="AL233" s="95"/>
      <c r="AM233" s="81"/>
    </row>
    <row collapsed="false" customFormat="false" customHeight="true" hidden="false" ht="16.2" outlineLevel="0" r="234">
      <c r="A234" s="80"/>
      <c r="B234" s="101"/>
      <c r="C234" s="85"/>
      <c r="D234" s="92"/>
      <c r="E234" s="83" t="s">
        <v>1037</v>
      </c>
      <c r="F234" s="49" t="s">
        <v>1036</v>
      </c>
      <c r="G234" s="85" t="s">
        <v>1057</v>
      </c>
      <c r="H234" s="85" t="n">
        <v>6</v>
      </c>
      <c r="I234" s="85"/>
      <c r="J234" s="85"/>
      <c r="K234" s="93" t="s">
        <v>53</v>
      </c>
      <c r="L234" s="93" t="s">
        <v>53</v>
      </c>
      <c r="M234" s="81" t="n">
        <v>1775</v>
      </c>
      <c r="N234" s="81" t="n">
        <v>1539</v>
      </c>
      <c r="O234" s="81" t="n">
        <v>209</v>
      </c>
      <c r="P234" s="95" t="s">
        <v>1005</v>
      </c>
      <c r="Q234" s="81" t="n">
        <v>202</v>
      </c>
      <c r="R234" s="95" t="s">
        <v>1005</v>
      </c>
      <c r="S234" s="81" t="n">
        <v>116</v>
      </c>
      <c r="T234" s="95" t="s">
        <v>1005</v>
      </c>
      <c r="U234" s="81" t="n">
        <v>99</v>
      </c>
      <c r="V234" s="95" t="s">
        <v>1005</v>
      </c>
      <c r="W234" s="81" t="n">
        <v>76</v>
      </c>
      <c r="X234" s="95" t="s">
        <v>1005</v>
      </c>
      <c r="Y234" s="81" t="n">
        <v>51</v>
      </c>
      <c r="Z234" s="95" t="s">
        <v>1005</v>
      </c>
      <c r="AA234" s="81" t="n">
        <v>50</v>
      </c>
      <c r="AB234" s="95" t="s">
        <v>1005</v>
      </c>
      <c r="AC234" s="81" t="n">
        <v>74</v>
      </c>
      <c r="AD234" s="95" t="s">
        <v>1005</v>
      </c>
      <c r="AE234" s="81" t="n">
        <v>105</v>
      </c>
      <c r="AF234" s="95" t="s">
        <v>1005</v>
      </c>
      <c r="AG234" s="81" t="n">
        <v>138</v>
      </c>
      <c r="AH234" s="95" t="s">
        <v>1005</v>
      </c>
      <c r="AI234" s="81" t="n">
        <v>177</v>
      </c>
      <c r="AJ234" s="95" t="s">
        <v>1005</v>
      </c>
      <c r="AK234" s="81" t="n">
        <v>171</v>
      </c>
      <c r="AL234" s="95" t="s">
        <v>1005</v>
      </c>
      <c r="AM234" s="81" t="n">
        <f aca="false">O234+Q234+S234+U234+W234+Y234+AA234+AC234+AE234+AG234+AI234+AK234</f>
        <v>1468</v>
      </c>
    </row>
    <row collapsed="false" customFormat="false" customHeight="true" hidden="false" ht="16.2" outlineLevel="0" r="235">
      <c r="A235" s="80" t="n">
        <v>114</v>
      </c>
      <c r="B235" s="100" t="s">
        <v>212</v>
      </c>
      <c r="C235" s="82" t="s">
        <v>1033</v>
      </c>
      <c r="D235" s="92" t="s">
        <v>1056</v>
      </c>
      <c r="E235" s="83" t="s">
        <v>1035</v>
      </c>
      <c r="F235" s="49" t="s">
        <v>1036</v>
      </c>
      <c r="G235" s="92"/>
      <c r="H235" s="85"/>
      <c r="I235" s="85"/>
      <c r="J235" s="85"/>
      <c r="K235" s="93"/>
      <c r="L235" s="93"/>
      <c r="M235" s="81"/>
      <c r="N235" s="81"/>
      <c r="O235" s="96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81"/>
    </row>
    <row collapsed="false" customFormat="false" customHeight="true" hidden="false" ht="16.2" outlineLevel="0" r="236">
      <c r="A236" s="80"/>
      <c r="B236" s="101"/>
      <c r="C236" s="85"/>
      <c r="D236" s="92"/>
      <c r="E236" s="83" t="s">
        <v>1037</v>
      </c>
      <c r="F236" s="49" t="s">
        <v>1036</v>
      </c>
      <c r="G236" s="85" t="s">
        <v>1057</v>
      </c>
      <c r="H236" s="85" t="n">
        <v>6</v>
      </c>
      <c r="I236" s="85"/>
      <c r="J236" s="85"/>
      <c r="K236" s="93" t="s">
        <v>53</v>
      </c>
      <c r="L236" s="93" t="s">
        <v>53</v>
      </c>
      <c r="M236" s="81" t="n">
        <v>1618</v>
      </c>
      <c r="N236" s="81" t="n">
        <v>1287</v>
      </c>
      <c r="O236" s="90" t="n">
        <v>181</v>
      </c>
      <c r="P236" s="95" t="s">
        <v>1005</v>
      </c>
      <c r="Q236" s="81" t="n">
        <v>206</v>
      </c>
      <c r="R236" s="95" t="s">
        <v>1005</v>
      </c>
      <c r="S236" s="81" t="n">
        <v>180</v>
      </c>
      <c r="T236" s="95" t="s">
        <v>1005</v>
      </c>
      <c r="U236" s="81" t="n">
        <v>62</v>
      </c>
      <c r="V236" s="95" t="s">
        <v>1005</v>
      </c>
      <c r="W236" s="81" t="n">
        <v>60</v>
      </c>
      <c r="X236" s="95" t="s">
        <v>1005</v>
      </c>
      <c r="Y236" s="81" t="n">
        <v>51</v>
      </c>
      <c r="Z236" s="95" t="s">
        <v>1005</v>
      </c>
      <c r="AA236" s="81" t="n">
        <v>23</v>
      </c>
      <c r="AB236" s="95" t="s">
        <v>1005</v>
      </c>
      <c r="AC236" s="81" t="n">
        <v>36</v>
      </c>
      <c r="AD236" s="95" t="s">
        <v>1005</v>
      </c>
      <c r="AE236" s="81" t="n">
        <v>62</v>
      </c>
      <c r="AF236" s="95" t="s">
        <v>1005</v>
      </c>
      <c r="AG236" s="81" t="n">
        <v>65</v>
      </c>
      <c r="AH236" s="95" t="s">
        <v>1005</v>
      </c>
      <c r="AI236" s="81" t="n">
        <v>102</v>
      </c>
      <c r="AJ236" s="95" t="s">
        <v>1005</v>
      </c>
      <c r="AK236" s="81" t="n">
        <v>95</v>
      </c>
      <c r="AL236" s="95" t="s">
        <v>1005</v>
      </c>
      <c r="AM236" s="81" t="n">
        <f aca="false">O236+Q236+S236+U236+W236+Y236+AA236+AC236+AE236+AG236+AI236+AK236</f>
        <v>1123</v>
      </c>
    </row>
    <row collapsed="false" customFormat="false" customHeight="true" hidden="false" ht="16.2" outlineLevel="0" r="237">
      <c r="A237" s="80" t="n">
        <v>115</v>
      </c>
      <c r="B237" s="100" t="s">
        <v>213</v>
      </c>
      <c r="C237" s="82" t="s">
        <v>1033</v>
      </c>
      <c r="D237" s="92" t="s">
        <v>1056</v>
      </c>
      <c r="E237" s="83" t="s">
        <v>1035</v>
      </c>
      <c r="F237" s="49" t="s">
        <v>1036</v>
      </c>
      <c r="G237" s="92"/>
      <c r="H237" s="85"/>
      <c r="I237" s="85"/>
      <c r="J237" s="85"/>
      <c r="K237" s="93"/>
      <c r="L237" s="93"/>
      <c r="M237" s="81"/>
      <c r="N237" s="81"/>
      <c r="O237" s="90"/>
      <c r="P237" s="95"/>
      <c r="Q237" s="81"/>
      <c r="R237" s="95"/>
      <c r="S237" s="81"/>
      <c r="T237" s="95"/>
      <c r="U237" s="81"/>
      <c r="V237" s="95"/>
      <c r="W237" s="81"/>
      <c r="X237" s="95"/>
      <c r="Y237" s="81"/>
      <c r="Z237" s="95"/>
      <c r="AA237" s="81"/>
      <c r="AB237" s="95"/>
      <c r="AC237" s="81"/>
      <c r="AD237" s="95"/>
      <c r="AE237" s="81"/>
      <c r="AF237" s="95"/>
      <c r="AG237" s="81"/>
      <c r="AH237" s="95"/>
      <c r="AI237" s="81"/>
      <c r="AJ237" s="95"/>
      <c r="AK237" s="81"/>
      <c r="AL237" s="95"/>
      <c r="AM237" s="81"/>
    </row>
    <row collapsed="false" customFormat="false" customHeight="true" hidden="false" ht="16.2" outlineLevel="0" r="238">
      <c r="A238" s="80"/>
      <c r="B238" s="101"/>
      <c r="C238" s="85"/>
      <c r="D238" s="92"/>
      <c r="E238" s="83" t="s">
        <v>1037</v>
      </c>
      <c r="F238" s="49" t="s">
        <v>1036</v>
      </c>
      <c r="G238" s="85" t="s">
        <v>1057</v>
      </c>
      <c r="H238" s="85" t="n">
        <v>6</v>
      </c>
      <c r="I238" s="85"/>
      <c r="J238" s="85"/>
      <c r="K238" s="93" t="s">
        <v>53</v>
      </c>
      <c r="L238" s="93" t="s">
        <v>53</v>
      </c>
      <c r="M238" s="81" t="n">
        <v>665</v>
      </c>
      <c r="N238" s="81" t="n">
        <v>923</v>
      </c>
      <c r="O238" s="90" t="n">
        <v>73</v>
      </c>
      <c r="P238" s="95" t="s">
        <v>1005</v>
      </c>
      <c r="Q238" s="81" t="n">
        <v>80</v>
      </c>
      <c r="R238" s="95" t="s">
        <v>1005</v>
      </c>
      <c r="S238" s="81" t="n">
        <v>43</v>
      </c>
      <c r="T238" s="95" t="s">
        <v>1005</v>
      </c>
      <c r="U238" s="81" t="n">
        <v>13</v>
      </c>
      <c r="V238" s="95" t="s">
        <v>1005</v>
      </c>
      <c r="W238" s="81" t="n">
        <v>16</v>
      </c>
      <c r="X238" s="95" t="s">
        <v>1005</v>
      </c>
      <c r="Y238" s="81" t="n">
        <v>12</v>
      </c>
      <c r="Z238" s="95" t="s">
        <v>1005</v>
      </c>
      <c r="AA238" s="81" t="n">
        <v>9</v>
      </c>
      <c r="AB238" s="95" t="s">
        <v>1005</v>
      </c>
      <c r="AC238" s="81" t="n">
        <v>20</v>
      </c>
      <c r="AD238" s="95" t="s">
        <v>1005</v>
      </c>
      <c r="AE238" s="81" t="n">
        <v>44</v>
      </c>
      <c r="AF238" s="95" t="s">
        <v>1005</v>
      </c>
      <c r="AG238" s="81" t="n">
        <v>34</v>
      </c>
      <c r="AH238" s="95" t="s">
        <v>1005</v>
      </c>
      <c r="AI238" s="81" t="n">
        <v>60</v>
      </c>
      <c r="AJ238" s="95" t="s">
        <v>1005</v>
      </c>
      <c r="AK238" s="81" t="n">
        <v>56</v>
      </c>
      <c r="AL238" s="95" t="s">
        <v>1005</v>
      </c>
      <c r="AM238" s="81" t="n">
        <f aca="false">O238+Q238+S238+U238+W238+Y238+AA238+AC238+AE238+AG238+AI238+AK238</f>
        <v>460</v>
      </c>
    </row>
    <row collapsed="false" customFormat="false" customHeight="true" hidden="false" ht="16.2" outlineLevel="0" r="239">
      <c r="A239" s="80" t="n">
        <v>116</v>
      </c>
      <c r="B239" s="100" t="s">
        <v>214</v>
      </c>
      <c r="C239" s="82" t="s">
        <v>1033</v>
      </c>
      <c r="D239" s="92" t="s">
        <v>1056</v>
      </c>
      <c r="E239" s="83" t="s">
        <v>1035</v>
      </c>
      <c r="F239" s="49" t="s">
        <v>1036</v>
      </c>
      <c r="G239" s="92"/>
      <c r="H239" s="85"/>
      <c r="I239" s="85"/>
      <c r="J239" s="85"/>
      <c r="K239" s="93"/>
      <c r="L239" s="93"/>
      <c r="M239" s="81"/>
      <c r="N239" s="81"/>
      <c r="O239" s="90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81"/>
    </row>
    <row collapsed="false" customFormat="false" customHeight="true" hidden="false" ht="16.2" outlineLevel="0" r="240">
      <c r="A240" s="80"/>
      <c r="B240" s="101"/>
      <c r="C240" s="85"/>
      <c r="D240" s="92"/>
      <c r="E240" s="83" t="s">
        <v>1037</v>
      </c>
      <c r="F240" s="49" t="s">
        <v>1036</v>
      </c>
      <c r="G240" s="85" t="s">
        <v>1057</v>
      </c>
      <c r="H240" s="85" t="n">
        <v>6</v>
      </c>
      <c r="I240" s="85"/>
      <c r="J240" s="85"/>
      <c r="K240" s="93" t="s">
        <v>53</v>
      </c>
      <c r="L240" s="93" t="s">
        <v>53</v>
      </c>
      <c r="M240" s="81" t="n">
        <v>1371</v>
      </c>
      <c r="N240" s="81" t="n">
        <v>833</v>
      </c>
      <c r="O240" s="90" t="n">
        <v>70</v>
      </c>
      <c r="P240" s="95" t="s">
        <v>1005</v>
      </c>
      <c r="Q240" s="81" t="n">
        <v>77</v>
      </c>
      <c r="R240" s="95" t="s">
        <v>1005</v>
      </c>
      <c r="S240" s="81" t="n">
        <v>46</v>
      </c>
      <c r="T240" s="95" t="s">
        <v>1005</v>
      </c>
      <c r="U240" s="81" t="n">
        <v>79</v>
      </c>
      <c r="V240" s="95" t="s">
        <v>1005</v>
      </c>
      <c r="W240" s="81" t="n">
        <v>67</v>
      </c>
      <c r="X240" s="95" t="s">
        <v>1005</v>
      </c>
      <c r="Y240" s="81" t="n">
        <v>52</v>
      </c>
      <c r="Z240" s="95" t="s">
        <v>1005</v>
      </c>
      <c r="AA240" s="81" t="n">
        <v>86</v>
      </c>
      <c r="AB240" s="95" t="s">
        <v>1005</v>
      </c>
      <c r="AC240" s="81" t="n">
        <v>111</v>
      </c>
      <c r="AD240" s="95" t="s">
        <v>1005</v>
      </c>
      <c r="AE240" s="81" t="n">
        <v>52</v>
      </c>
      <c r="AF240" s="95" t="s">
        <v>1005</v>
      </c>
      <c r="AG240" s="81" t="n">
        <v>57</v>
      </c>
      <c r="AH240" s="95" t="s">
        <v>1005</v>
      </c>
      <c r="AI240" s="81" t="n">
        <v>85</v>
      </c>
      <c r="AJ240" s="95" t="s">
        <v>1005</v>
      </c>
      <c r="AK240" s="81" t="n">
        <v>81</v>
      </c>
      <c r="AL240" s="95" t="s">
        <v>1005</v>
      </c>
      <c r="AM240" s="81" t="n">
        <f aca="false">O240+Q240+S240+U240+W240+Y240+AA240+AC240+AE240+AG240+AI240+AK240</f>
        <v>863</v>
      </c>
    </row>
    <row collapsed="false" customFormat="false" customHeight="true" hidden="false" ht="16.2" outlineLevel="0" r="241">
      <c r="A241" s="80" t="n">
        <v>117</v>
      </c>
      <c r="B241" s="81"/>
      <c r="C241" s="82" t="s">
        <v>1033</v>
      </c>
      <c r="D241" s="85"/>
      <c r="E241" s="83" t="s">
        <v>1035</v>
      </c>
      <c r="F241" s="49" t="s">
        <v>1036</v>
      </c>
      <c r="G241" s="85"/>
      <c r="H241" s="85"/>
      <c r="I241" s="85"/>
      <c r="J241" s="85"/>
      <c r="K241" s="85"/>
      <c r="L241" s="85"/>
      <c r="M241" s="81"/>
      <c r="N241" s="81"/>
      <c r="O241" s="96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</row>
    <row collapsed="false" customFormat="false" customHeight="true" hidden="false" ht="16.2" outlineLevel="0" r="242">
      <c r="A242" s="80"/>
      <c r="B242" s="81" t="s">
        <v>216</v>
      </c>
      <c r="C242" s="85"/>
      <c r="D242" s="85" t="s">
        <v>1054</v>
      </c>
      <c r="E242" s="83" t="s">
        <v>1037</v>
      </c>
      <c r="F242" s="49" t="s">
        <v>1036</v>
      </c>
      <c r="G242" s="85" t="s">
        <v>1042</v>
      </c>
      <c r="H242" s="85" t="n">
        <v>4</v>
      </c>
      <c r="I242" s="85" t="s">
        <v>1044</v>
      </c>
      <c r="J242" s="85" t="n">
        <v>2</v>
      </c>
      <c r="K242" s="85" t="s">
        <v>1041</v>
      </c>
      <c r="L242" s="85" t="s">
        <v>1041</v>
      </c>
      <c r="M242" s="81" t="n">
        <v>120</v>
      </c>
      <c r="N242" s="81"/>
      <c r="O242" s="96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</row>
    <row collapsed="false" customFormat="false" customHeight="true" hidden="false" ht="16.2" outlineLevel="0" r="243">
      <c r="A243" s="80" t="n">
        <v>118</v>
      </c>
      <c r="B243" s="81"/>
      <c r="C243" s="82" t="s">
        <v>1033</v>
      </c>
      <c r="D243" s="85"/>
      <c r="E243" s="83" t="s">
        <v>1035</v>
      </c>
      <c r="F243" s="49" t="s">
        <v>1036</v>
      </c>
      <c r="G243" s="85"/>
      <c r="H243" s="85"/>
      <c r="I243" s="85"/>
      <c r="J243" s="85"/>
      <c r="K243" s="85"/>
      <c r="L243" s="85"/>
      <c r="M243" s="81"/>
      <c r="N243" s="81"/>
      <c r="O243" s="96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</row>
    <row collapsed="false" customFormat="false" customHeight="true" hidden="false" ht="16.2" outlineLevel="0" r="244">
      <c r="A244" s="80"/>
      <c r="B244" s="81" t="s">
        <v>217</v>
      </c>
      <c r="C244" s="85"/>
      <c r="D244" s="85" t="s">
        <v>1054</v>
      </c>
      <c r="E244" s="83" t="s">
        <v>1037</v>
      </c>
      <c r="F244" s="49" t="s">
        <v>1036</v>
      </c>
      <c r="G244" s="85" t="s">
        <v>1042</v>
      </c>
      <c r="H244" s="85" t="n">
        <v>4</v>
      </c>
      <c r="I244" s="85" t="s">
        <v>1044</v>
      </c>
      <c r="J244" s="85" t="n">
        <v>3</v>
      </c>
      <c r="K244" s="85" t="s">
        <v>1041</v>
      </c>
      <c r="L244" s="85" t="s">
        <v>1041</v>
      </c>
      <c r="M244" s="81"/>
      <c r="N244" s="81"/>
      <c r="O244" s="96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</row>
    <row collapsed="false" customFormat="false" customHeight="true" hidden="false" ht="16.2" outlineLevel="0" r="245">
      <c r="A245" s="80" t="n">
        <v>119</v>
      </c>
      <c r="B245" s="81"/>
      <c r="C245" s="82" t="s">
        <v>1033</v>
      </c>
      <c r="D245" s="85"/>
      <c r="E245" s="83" t="s">
        <v>1035</v>
      </c>
      <c r="F245" s="49" t="s">
        <v>1036</v>
      </c>
      <c r="G245" s="85"/>
      <c r="H245" s="85"/>
      <c r="I245" s="85"/>
      <c r="J245" s="85"/>
      <c r="K245" s="85"/>
      <c r="L245" s="85"/>
      <c r="M245" s="81"/>
      <c r="N245" s="81"/>
      <c r="O245" s="96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</row>
    <row collapsed="false" customFormat="false" customHeight="true" hidden="false" ht="16.2" outlineLevel="0" r="246">
      <c r="A246" s="80"/>
      <c r="B246" s="81" t="s">
        <v>218</v>
      </c>
      <c r="C246" s="85"/>
      <c r="D246" s="85" t="s">
        <v>1054</v>
      </c>
      <c r="E246" s="83" t="s">
        <v>1037</v>
      </c>
      <c r="F246" s="49" t="s">
        <v>1036</v>
      </c>
      <c r="G246" s="85" t="s">
        <v>1042</v>
      </c>
      <c r="H246" s="85" t="n">
        <v>4</v>
      </c>
      <c r="I246" s="85" t="s">
        <v>1044</v>
      </c>
      <c r="J246" s="85" t="n">
        <v>2</v>
      </c>
      <c r="K246" s="85" t="s">
        <v>1041</v>
      </c>
      <c r="L246" s="85" t="s">
        <v>1041</v>
      </c>
      <c r="M246" s="81" t="n">
        <v>162</v>
      </c>
      <c r="N246" s="81"/>
      <c r="O246" s="96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</row>
    <row collapsed="false" customFormat="false" customHeight="true" hidden="false" ht="16.2" outlineLevel="0" r="247">
      <c r="A247" s="80" t="n">
        <v>120</v>
      </c>
      <c r="B247" s="81"/>
      <c r="C247" s="82" t="s">
        <v>1033</v>
      </c>
      <c r="D247" s="85"/>
      <c r="E247" s="83" t="s">
        <v>1035</v>
      </c>
      <c r="F247" s="49" t="s">
        <v>1036</v>
      </c>
      <c r="G247" s="85"/>
      <c r="H247" s="85"/>
      <c r="I247" s="85"/>
      <c r="J247" s="85"/>
      <c r="K247" s="85"/>
      <c r="L247" s="85"/>
      <c r="M247" s="81"/>
      <c r="N247" s="81"/>
      <c r="O247" s="96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</row>
    <row collapsed="false" customFormat="false" customHeight="true" hidden="false" ht="16.2" outlineLevel="0" r="248">
      <c r="A248" s="80"/>
      <c r="B248" s="81" t="s">
        <v>219</v>
      </c>
      <c r="C248" s="85"/>
      <c r="D248" s="85" t="s">
        <v>1054</v>
      </c>
      <c r="E248" s="83" t="s">
        <v>1037</v>
      </c>
      <c r="F248" s="49" t="s">
        <v>1036</v>
      </c>
      <c r="G248" s="85" t="s">
        <v>1042</v>
      </c>
      <c r="H248" s="85" t="n">
        <v>4</v>
      </c>
      <c r="I248" s="85" t="s">
        <v>1044</v>
      </c>
      <c r="J248" s="85" t="n">
        <v>2</v>
      </c>
      <c r="K248" s="85" t="s">
        <v>1041</v>
      </c>
      <c r="L248" s="85" t="s">
        <v>1041</v>
      </c>
      <c r="M248" s="81"/>
      <c r="N248" s="81"/>
      <c r="O248" s="96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</row>
    <row collapsed="false" customFormat="false" customHeight="true" hidden="false" ht="16.2" outlineLevel="0" r="249">
      <c r="A249" s="80" t="n">
        <v>121</v>
      </c>
      <c r="B249" s="81"/>
      <c r="C249" s="82" t="s">
        <v>1033</v>
      </c>
      <c r="D249" s="85"/>
      <c r="E249" s="83" t="s">
        <v>1035</v>
      </c>
      <c r="F249" s="49" t="s">
        <v>1036</v>
      </c>
      <c r="G249" s="85"/>
      <c r="H249" s="85"/>
      <c r="I249" s="85"/>
      <c r="J249" s="85"/>
      <c r="K249" s="85"/>
      <c r="L249" s="85"/>
      <c r="M249" s="81"/>
      <c r="N249" s="81"/>
      <c r="O249" s="96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</row>
    <row collapsed="false" customFormat="false" customHeight="true" hidden="false" ht="16.2" outlineLevel="0" r="250">
      <c r="A250" s="80"/>
      <c r="B250" s="81" t="s">
        <v>220</v>
      </c>
      <c r="C250" s="85"/>
      <c r="D250" s="85" t="s">
        <v>1054</v>
      </c>
      <c r="E250" s="83" t="s">
        <v>1037</v>
      </c>
      <c r="F250" s="49" t="s">
        <v>1036</v>
      </c>
      <c r="G250" s="85" t="s">
        <v>1044</v>
      </c>
      <c r="H250" s="85" t="n">
        <v>3</v>
      </c>
      <c r="I250" s="85" t="s">
        <v>1044</v>
      </c>
      <c r="J250" s="85" t="n">
        <v>3</v>
      </c>
      <c r="K250" s="85" t="s">
        <v>1041</v>
      </c>
      <c r="L250" s="85" t="s">
        <v>1041</v>
      </c>
      <c r="M250" s="81" t="n">
        <v>774</v>
      </c>
      <c r="N250" s="81"/>
      <c r="O250" s="96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</row>
    <row collapsed="false" customFormat="false" customHeight="true" hidden="false" ht="16.2" outlineLevel="0" r="251">
      <c r="A251" s="80" t="n">
        <v>122</v>
      </c>
      <c r="B251" s="81"/>
      <c r="C251" s="82" t="s">
        <v>1033</v>
      </c>
      <c r="D251" s="85"/>
      <c r="E251" s="83" t="s">
        <v>1035</v>
      </c>
      <c r="F251" s="49" t="s">
        <v>1036</v>
      </c>
      <c r="G251" s="85"/>
      <c r="H251" s="85"/>
      <c r="I251" s="85"/>
      <c r="J251" s="85"/>
      <c r="K251" s="85"/>
      <c r="L251" s="85"/>
      <c r="M251" s="81"/>
      <c r="N251" s="81"/>
      <c r="O251" s="96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</row>
    <row collapsed="false" customFormat="false" customHeight="true" hidden="false" ht="16.2" outlineLevel="0" r="252">
      <c r="A252" s="80"/>
      <c r="B252" s="81" t="s">
        <v>221</v>
      </c>
      <c r="C252" s="85"/>
      <c r="D252" s="85" t="s">
        <v>1054</v>
      </c>
      <c r="E252" s="83" t="s">
        <v>1037</v>
      </c>
      <c r="F252" s="49" t="s">
        <v>1036</v>
      </c>
      <c r="G252" s="85" t="s">
        <v>1044</v>
      </c>
      <c r="H252" s="85" t="n">
        <v>5</v>
      </c>
      <c r="I252" s="85" t="s">
        <v>1044</v>
      </c>
      <c r="J252" s="85" t="n">
        <v>3</v>
      </c>
      <c r="K252" s="85" t="s">
        <v>1041</v>
      </c>
      <c r="L252" s="85" t="s">
        <v>1041</v>
      </c>
      <c r="M252" s="81" t="n">
        <v>1512</v>
      </c>
      <c r="N252" s="81"/>
      <c r="O252" s="96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</row>
    <row collapsed="false" customFormat="false" customHeight="true" hidden="false" ht="16.2" outlineLevel="0" r="253">
      <c r="A253" s="80" t="n">
        <v>123</v>
      </c>
      <c r="B253" s="81"/>
      <c r="C253" s="82" t="s">
        <v>1033</v>
      </c>
      <c r="D253" s="85"/>
      <c r="E253" s="83" t="s">
        <v>1035</v>
      </c>
      <c r="F253" s="49" t="s">
        <v>1036</v>
      </c>
      <c r="G253" s="85"/>
      <c r="H253" s="85"/>
      <c r="I253" s="85"/>
      <c r="J253" s="85"/>
      <c r="K253" s="85"/>
      <c r="L253" s="85"/>
      <c r="M253" s="81"/>
      <c r="N253" s="81"/>
      <c r="O253" s="96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</row>
    <row collapsed="false" customFormat="false" customHeight="true" hidden="false" ht="16.2" outlineLevel="0" r="254">
      <c r="A254" s="80"/>
      <c r="B254" s="81" t="s">
        <v>222</v>
      </c>
      <c r="C254" s="85"/>
      <c r="D254" s="85" t="s">
        <v>1054</v>
      </c>
      <c r="E254" s="83" t="s">
        <v>1037</v>
      </c>
      <c r="F254" s="49" t="s">
        <v>1036</v>
      </c>
      <c r="G254" s="85" t="s">
        <v>1044</v>
      </c>
      <c r="H254" s="85" t="n">
        <v>1</v>
      </c>
      <c r="I254" s="85" t="s">
        <v>1044</v>
      </c>
      <c r="J254" s="85" t="n">
        <v>4</v>
      </c>
      <c r="K254" s="85" t="s">
        <v>1041</v>
      </c>
      <c r="L254" s="85" t="s">
        <v>1041</v>
      </c>
      <c r="M254" s="81"/>
      <c r="N254" s="81"/>
      <c r="O254" s="96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</row>
    <row collapsed="false" customFormat="false" customHeight="true" hidden="false" ht="16.2" outlineLevel="0" r="255">
      <c r="A255" s="80" t="n">
        <v>124</v>
      </c>
      <c r="B255" s="81"/>
      <c r="C255" s="82" t="s">
        <v>1033</v>
      </c>
      <c r="D255" s="85"/>
      <c r="E255" s="83" t="s">
        <v>1035</v>
      </c>
      <c r="F255" s="49" t="s">
        <v>1036</v>
      </c>
      <c r="G255" s="85"/>
      <c r="H255" s="85"/>
      <c r="I255" s="85"/>
      <c r="J255" s="85"/>
      <c r="K255" s="85"/>
      <c r="L255" s="85"/>
      <c r="M255" s="81"/>
      <c r="N255" s="81"/>
      <c r="O255" s="96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</row>
    <row collapsed="false" customFormat="false" customHeight="true" hidden="false" ht="16.2" outlineLevel="0" r="256">
      <c r="A256" s="80"/>
      <c r="B256" s="81" t="s">
        <v>223</v>
      </c>
      <c r="C256" s="85"/>
      <c r="D256" s="85" t="s">
        <v>1054</v>
      </c>
      <c r="E256" s="83" t="s">
        <v>1037</v>
      </c>
      <c r="F256" s="49" t="s">
        <v>1036</v>
      </c>
      <c r="G256" s="85" t="s">
        <v>1044</v>
      </c>
      <c r="H256" s="85" t="n">
        <v>16</v>
      </c>
      <c r="I256" s="85" t="s">
        <v>1044</v>
      </c>
      <c r="J256" s="85" t="n">
        <v>4</v>
      </c>
      <c r="K256" s="85" t="s">
        <v>1041</v>
      </c>
      <c r="L256" s="85" t="s">
        <v>1041</v>
      </c>
      <c r="M256" s="81" t="n">
        <v>20670</v>
      </c>
      <c r="N256" s="81"/>
      <c r="O256" s="96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</row>
    <row collapsed="false" customFormat="false" customHeight="true" hidden="false" ht="16.2" outlineLevel="0" r="257">
      <c r="A257" s="80" t="n">
        <v>125</v>
      </c>
      <c r="B257" s="100" t="s">
        <v>225</v>
      </c>
      <c r="C257" s="82" t="s">
        <v>1033</v>
      </c>
      <c r="D257" s="92" t="s">
        <v>1056</v>
      </c>
      <c r="E257" s="83" t="s">
        <v>1035</v>
      </c>
      <c r="F257" s="49" t="s">
        <v>1036</v>
      </c>
      <c r="G257" s="92"/>
      <c r="H257" s="85"/>
      <c r="I257" s="85"/>
      <c r="J257" s="85"/>
      <c r="K257" s="93"/>
      <c r="L257" s="93"/>
      <c r="M257" s="81"/>
      <c r="N257" s="81"/>
      <c r="O257" s="90"/>
      <c r="P257" s="95"/>
      <c r="Q257" s="81"/>
      <c r="R257" s="95"/>
      <c r="S257" s="81"/>
      <c r="T257" s="95"/>
      <c r="U257" s="81"/>
      <c r="V257" s="95"/>
      <c r="W257" s="81"/>
      <c r="X257" s="95"/>
      <c r="Y257" s="81"/>
      <c r="Z257" s="95"/>
      <c r="AA257" s="81"/>
      <c r="AB257" s="95"/>
      <c r="AC257" s="81"/>
      <c r="AD257" s="95"/>
      <c r="AE257" s="81"/>
      <c r="AF257" s="95"/>
      <c r="AG257" s="81"/>
      <c r="AH257" s="95"/>
      <c r="AI257" s="81"/>
      <c r="AJ257" s="95"/>
      <c r="AK257" s="81"/>
      <c r="AL257" s="95"/>
      <c r="AM257" s="81"/>
    </row>
    <row collapsed="false" customFormat="false" customHeight="true" hidden="false" ht="16.2" outlineLevel="0" r="258">
      <c r="A258" s="80"/>
      <c r="B258" s="101"/>
      <c r="C258" s="85"/>
      <c r="D258" s="92"/>
      <c r="E258" s="83" t="s">
        <v>1037</v>
      </c>
      <c r="F258" s="49" t="s">
        <v>1036</v>
      </c>
      <c r="G258" s="85" t="s">
        <v>1057</v>
      </c>
      <c r="H258" s="85" t="n">
        <v>8</v>
      </c>
      <c r="I258" s="85"/>
      <c r="J258" s="85"/>
      <c r="K258" s="93" t="s">
        <v>53</v>
      </c>
      <c r="L258" s="93" t="s">
        <v>53</v>
      </c>
      <c r="M258" s="81" t="n">
        <v>5148</v>
      </c>
      <c r="N258" s="81" t="n">
        <v>3427</v>
      </c>
      <c r="O258" s="90" t="n">
        <v>432</v>
      </c>
      <c r="P258" s="95" t="s">
        <v>1005</v>
      </c>
      <c r="Q258" s="81" t="n">
        <v>442</v>
      </c>
      <c r="R258" s="95" t="s">
        <v>1005</v>
      </c>
      <c r="S258" s="81" t="n">
        <v>253</v>
      </c>
      <c r="T258" s="95" t="s">
        <v>1005</v>
      </c>
      <c r="U258" s="81" t="n">
        <v>309</v>
      </c>
      <c r="V258" s="95" t="s">
        <v>1005</v>
      </c>
      <c r="W258" s="81" t="n">
        <v>476</v>
      </c>
      <c r="X258" s="95" t="s">
        <v>1005</v>
      </c>
      <c r="Y258" s="81" t="n">
        <v>272</v>
      </c>
      <c r="Z258" s="95" t="s">
        <v>1005</v>
      </c>
      <c r="AA258" s="81" t="n">
        <v>236</v>
      </c>
      <c r="AB258" s="95" t="s">
        <v>1005</v>
      </c>
      <c r="AC258" s="81" t="n">
        <v>261</v>
      </c>
      <c r="AD258" s="95" t="s">
        <v>1005</v>
      </c>
      <c r="AE258" s="81" t="n">
        <v>341</v>
      </c>
      <c r="AF258" s="95" t="s">
        <v>1005</v>
      </c>
      <c r="AG258" s="81" t="n">
        <v>373</v>
      </c>
      <c r="AH258" s="95" t="s">
        <v>1005</v>
      </c>
      <c r="AI258" s="81" t="n">
        <v>273</v>
      </c>
      <c r="AJ258" s="95" t="s">
        <v>1005</v>
      </c>
      <c r="AK258" s="81" t="n">
        <v>270</v>
      </c>
      <c r="AL258" s="95" t="s">
        <v>1005</v>
      </c>
      <c r="AM258" s="81" t="n">
        <f aca="false">O258+Q258+S258+U258+W258+Y258+AA258+AC258+AE258+AG258+AI258+AK258</f>
        <v>3938</v>
      </c>
    </row>
    <row collapsed="false" customFormat="false" customHeight="true" hidden="false" ht="16.2" outlineLevel="0" r="259">
      <c r="A259" s="80" t="n">
        <v>126</v>
      </c>
      <c r="B259" s="100" t="s">
        <v>226</v>
      </c>
      <c r="C259" s="82" t="s">
        <v>1033</v>
      </c>
      <c r="D259" s="92" t="s">
        <v>1056</v>
      </c>
      <c r="E259" s="83" t="s">
        <v>1035</v>
      </c>
      <c r="F259" s="49" t="s">
        <v>1036</v>
      </c>
      <c r="G259" s="92"/>
      <c r="H259" s="85"/>
      <c r="I259" s="85"/>
      <c r="J259" s="85"/>
      <c r="K259" s="93"/>
      <c r="L259" s="93"/>
      <c r="M259" s="81"/>
      <c r="N259" s="81"/>
      <c r="O259" s="90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81"/>
    </row>
    <row collapsed="false" customFormat="false" customHeight="true" hidden="false" ht="16.2" outlineLevel="0" r="260">
      <c r="A260" s="80"/>
      <c r="B260" s="101"/>
      <c r="C260" s="85"/>
      <c r="D260" s="92"/>
      <c r="E260" s="83" t="s">
        <v>1037</v>
      </c>
      <c r="F260" s="49" t="s">
        <v>1036</v>
      </c>
      <c r="G260" s="85" t="s">
        <v>1057</v>
      </c>
      <c r="H260" s="85" t="n">
        <v>5</v>
      </c>
      <c r="I260" s="85"/>
      <c r="J260" s="85"/>
      <c r="K260" s="93" t="s">
        <v>53</v>
      </c>
      <c r="L260" s="93" t="s">
        <v>53</v>
      </c>
      <c r="M260" s="81" t="n">
        <v>5267</v>
      </c>
      <c r="N260" s="81" t="n">
        <v>5088</v>
      </c>
      <c r="O260" s="90" t="n">
        <v>583</v>
      </c>
      <c r="P260" s="95" t="s">
        <v>1005</v>
      </c>
      <c r="Q260" s="81" t="n">
        <v>583</v>
      </c>
      <c r="R260" s="95" t="s">
        <v>1005</v>
      </c>
      <c r="S260" s="81" t="n">
        <v>407</v>
      </c>
      <c r="T260" s="95" t="s">
        <v>1005</v>
      </c>
      <c r="U260" s="81" t="n">
        <v>462</v>
      </c>
      <c r="V260" s="95" t="s">
        <v>1005</v>
      </c>
      <c r="W260" s="81" t="n">
        <v>396</v>
      </c>
      <c r="X260" s="95" t="s">
        <v>1005</v>
      </c>
      <c r="Y260" s="81" t="n">
        <v>363</v>
      </c>
      <c r="Z260" s="95" t="s">
        <v>1005</v>
      </c>
      <c r="AA260" s="81" t="n">
        <v>315</v>
      </c>
      <c r="AB260" s="95" t="s">
        <v>1005</v>
      </c>
      <c r="AC260" s="81" t="n">
        <v>328</v>
      </c>
      <c r="AD260" s="95" t="s">
        <v>1005</v>
      </c>
      <c r="AE260" s="81" t="n">
        <v>467</v>
      </c>
      <c r="AF260" s="95" t="s">
        <v>1005</v>
      </c>
      <c r="AG260" s="81" t="n">
        <v>468</v>
      </c>
      <c r="AH260" s="95" t="s">
        <v>1005</v>
      </c>
      <c r="AI260" s="81" t="n">
        <v>531</v>
      </c>
      <c r="AJ260" s="95" t="s">
        <v>1005</v>
      </c>
      <c r="AK260" s="81" t="n">
        <v>533</v>
      </c>
      <c r="AL260" s="95" t="s">
        <v>1005</v>
      </c>
      <c r="AM260" s="81" t="n">
        <f aca="false">O260+Q260+S260+U260+W260+Y260+AA260+AC260+AE260+AG260+AI260+AK260</f>
        <v>5436</v>
      </c>
    </row>
    <row collapsed="false" customFormat="false" customHeight="true" hidden="false" ht="16.2" outlineLevel="0" r="261">
      <c r="A261" s="80" t="n">
        <v>127</v>
      </c>
      <c r="B261" s="100" t="s">
        <v>227</v>
      </c>
      <c r="C261" s="82" t="s">
        <v>1033</v>
      </c>
      <c r="D261" s="92" t="s">
        <v>1056</v>
      </c>
      <c r="E261" s="83" t="s">
        <v>1035</v>
      </c>
      <c r="F261" s="49" t="s">
        <v>1036</v>
      </c>
      <c r="G261" s="92"/>
      <c r="H261" s="85"/>
      <c r="I261" s="85"/>
      <c r="J261" s="85"/>
      <c r="K261" s="93"/>
      <c r="L261" s="93"/>
      <c r="M261" s="81"/>
      <c r="N261" s="81"/>
      <c r="O261" s="90"/>
      <c r="P261" s="95"/>
      <c r="Q261" s="81"/>
      <c r="R261" s="95"/>
      <c r="S261" s="81"/>
      <c r="T261" s="95"/>
      <c r="U261" s="81"/>
      <c r="V261" s="95"/>
      <c r="W261" s="81"/>
      <c r="X261" s="95"/>
      <c r="Y261" s="81"/>
      <c r="Z261" s="95"/>
      <c r="AA261" s="81"/>
      <c r="AB261" s="95"/>
      <c r="AC261" s="81"/>
      <c r="AD261" s="95"/>
      <c r="AE261" s="81"/>
      <c r="AF261" s="95"/>
      <c r="AG261" s="81"/>
      <c r="AH261" s="95"/>
      <c r="AI261" s="81"/>
      <c r="AJ261" s="95"/>
      <c r="AK261" s="81"/>
      <c r="AL261" s="95"/>
      <c r="AM261" s="81"/>
    </row>
    <row collapsed="false" customFormat="false" customHeight="true" hidden="false" ht="16.2" outlineLevel="0" r="262">
      <c r="A262" s="80"/>
      <c r="B262" s="101"/>
      <c r="C262" s="85"/>
      <c r="D262" s="92"/>
      <c r="E262" s="83" t="s">
        <v>1037</v>
      </c>
      <c r="F262" s="49" t="s">
        <v>1036</v>
      </c>
      <c r="G262" s="85" t="s">
        <v>1057</v>
      </c>
      <c r="H262" s="85" t="n">
        <v>30</v>
      </c>
      <c r="I262" s="85" t="s">
        <v>1046</v>
      </c>
      <c r="J262" s="85" t="n">
        <v>5</v>
      </c>
      <c r="K262" s="93" t="s">
        <v>53</v>
      </c>
      <c r="L262" s="93" t="s">
        <v>53</v>
      </c>
      <c r="M262" s="81" t="n">
        <v>11325</v>
      </c>
      <c r="N262" s="81" t="n">
        <v>11448</v>
      </c>
      <c r="O262" s="90" t="n">
        <v>1078</v>
      </c>
      <c r="P262" s="95" t="s">
        <v>1005</v>
      </c>
      <c r="Q262" s="81" t="n">
        <v>1011</v>
      </c>
      <c r="R262" s="95" t="s">
        <v>1005</v>
      </c>
      <c r="S262" s="81" t="n">
        <v>583</v>
      </c>
      <c r="T262" s="95" t="s">
        <v>1005</v>
      </c>
      <c r="U262" s="81" t="n">
        <v>651</v>
      </c>
      <c r="V262" s="95" t="s">
        <v>1005</v>
      </c>
      <c r="W262" s="81" t="n">
        <v>500</v>
      </c>
      <c r="X262" s="95" t="s">
        <v>1005</v>
      </c>
      <c r="Y262" s="81" t="n">
        <v>452</v>
      </c>
      <c r="Z262" s="95" t="s">
        <v>1005</v>
      </c>
      <c r="AA262" s="81" t="n">
        <v>417</v>
      </c>
      <c r="AB262" s="95" t="s">
        <v>1005</v>
      </c>
      <c r="AC262" s="81" t="n">
        <v>460</v>
      </c>
      <c r="AD262" s="95" t="s">
        <v>1005</v>
      </c>
      <c r="AE262" s="81" t="n">
        <v>610</v>
      </c>
      <c r="AF262" s="95" t="s">
        <v>1005</v>
      </c>
      <c r="AG262" s="81" t="n">
        <v>728</v>
      </c>
      <c r="AH262" s="95" t="s">
        <v>1005</v>
      </c>
      <c r="AI262" s="81" t="n">
        <v>905</v>
      </c>
      <c r="AJ262" s="95" t="s">
        <v>1005</v>
      </c>
      <c r="AK262" s="81" t="n">
        <v>900</v>
      </c>
      <c r="AL262" s="95" t="s">
        <v>1005</v>
      </c>
      <c r="AM262" s="81" t="n">
        <f aca="false">O262+Q262+S262+U262+W262+Y262+AA262+AC262+AE262+AG262+AI262+AK262</f>
        <v>8295</v>
      </c>
    </row>
    <row collapsed="false" customFormat="false" customHeight="true" hidden="false" ht="16.2" outlineLevel="0" r="263">
      <c r="A263" s="80" t="n">
        <v>128</v>
      </c>
      <c r="B263" s="100" t="s">
        <v>228</v>
      </c>
      <c r="C263" s="82" t="s">
        <v>1033</v>
      </c>
      <c r="D263" s="92" t="s">
        <v>1056</v>
      </c>
      <c r="E263" s="83" t="s">
        <v>1035</v>
      </c>
      <c r="F263" s="49" t="s">
        <v>1036</v>
      </c>
      <c r="G263" s="92"/>
      <c r="H263" s="85"/>
      <c r="I263" s="85"/>
      <c r="J263" s="85"/>
      <c r="K263" s="93"/>
      <c r="L263" s="93"/>
      <c r="M263" s="81"/>
      <c r="N263" s="81"/>
      <c r="O263" s="90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81"/>
    </row>
    <row collapsed="false" customFormat="false" customHeight="true" hidden="false" ht="16.2" outlineLevel="0" r="264">
      <c r="A264" s="80"/>
      <c r="B264" s="101"/>
      <c r="C264" s="85"/>
      <c r="D264" s="92"/>
      <c r="E264" s="83" t="s">
        <v>1037</v>
      </c>
      <c r="F264" s="49" t="s">
        <v>1036</v>
      </c>
      <c r="G264" s="85" t="s">
        <v>1057</v>
      </c>
      <c r="H264" s="85" t="n">
        <v>30</v>
      </c>
      <c r="I264" s="85"/>
      <c r="J264" s="85"/>
      <c r="K264" s="93" t="s">
        <v>53</v>
      </c>
      <c r="L264" s="93" t="s">
        <v>53</v>
      </c>
      <c r="M264" s="81" t="n">
        <v>4913</v>
      </c>
      <c r="N264" s="81" t="n">
        <v>4960</v>
      </c>
      <c r="O264" s="90" t="n">
        <v>537</v>
      </c>
      <c r="P264" s="95" t="s">
        <v>1005</v>
      </c>
      <c r="Q264" s="81" t="n">
        <v>578</v>
      </c>
      <c r="R264" s="95" t="s">
        <v>1005</v>
      </c>
      <c r="S264" s="81" t="n">
        <v>299</v>
      </c>
      <c r="T264" s="95" t="s">
        <v>1005</v>
      </c>
      <c r="U264" s="81" t="n">
        <v>268</v>
      </c>
      <c r="V264" s="95" t="s">
        <v>1005</v>
      </c>
      <c r="W264" s="81" t="n">
        <v>220</v>
      </c>
      <c r="X264" s="95" t="s">
        <v>1005</v>
      </c>
      <c r="Y264" s="81" t="n">
        <v>211</v>
      </c>
      <c r="Z264" s="95" t="s">
        <v>1005</v>
      </c>
      <c r="AA264" s="81" t="n">
        <v>217</v>
      </c>
      <c r="AB264" s="95" t="s">
        <v>1005</v>
      </c>
      <c r="AC264" s="81" t="n">
        <v>204</v>
      </c>
      <c r="AD264" s="95" t="s">
        <v>1005</v>
      </c>
      <c r="AE264" s="81" t="n">
        <v>320</v>
      </c>
      <c r="AF264" s="95" t="s">
        <v>1005</v>
      </c>
      <c r="AG264" s="81" t="n">
        <v>321</v>
      </c>
      <c r="AH264" s="95" t="s">
        <v>1005</v>
      </c>
      <c r="AI264" s="81" t="n">
        <v>364</v>
      </c>
      <c r="AJ264" s="95" t="s">
        <v>1005</v>
      </c>
      <c r="AK264" s="81" t="n">
        <v>358</v>
      </c>
      <c r="AL264" s="95" t="s">
        <v>1005</v>
      </c>
      <c r="AM264" s="81" t="n">
        <f aca="false">O264+Q264+S264+U264+W264+Y264+AA264+AC264+AE264+AG264+AI264+AK264</f>
        <v>3897</v>
      </c>
    </row>
    <row collapsed="false" customFormat="false" customHeight="true" hidden="false" ht="16.2" outlineLevel="0" r="265">
      <c r="A265" s="80" t="n">
        <v>129</v>
      </c>
      <c r="B265" s="100" t="s">
        <v>229</v>
      </c>
      <c r="C265" s="82" t="s">
        <v>1033</v>
      </c>
      <c r="D265" s="92" t="s">
        <v>1056</v>
      </c>
      <c r="E265" s="83" t="s">
        <v>1035</v>
      </c>
      <c r="F265" s="49" t="s">
        <v>1036</v>
      </c>
      <c r="G265" s="92"/>
      <c r="H265" s="85"/>
      <c r="I265" s="85"/>
      <c r="J265" s="85"/>
      <c r="K265" s="93" t="s">
        <v>53</v>
      </c>
      <c r="L265" s="93" t="s">
        <v>53</v>
      </c>
      <c r="M265" s="81" t="n">
        <v>11414</v>
      </c>
      <c r="N265" s="81" t="n">
        <v>7314</v>
      </c>
      <c r="O265" s="90" t="n">
        <v>986</v>
      </c>
      <c r="P265" s="95" t="s">
        <v>1005</v>
      </c>
      <c r="Q265" s="81" t="n">
        <v>906</v>
      </c>
      <c r="R265" s="95" t="s">
        <v>1005</v>
      </c>
      <c r="S265" s="81" t="n">
        <v>557</v>
      </c>
      <c r="T265" s="95" t="s">
        <v>1005</v>
      </c>
      <c r="U265" s="81" t="n">
        <v>722</v>
      </c>
      <c r="V265" s="95" t="s">
        <v>1005</v>
      </c>
      <c r="W265" s="81" t="n">
        <v>530</v>
      </c>
      <c r="X265" s="95" t="s">
        <v>1005</v>
      </c>
      <c r="Y265" s="81" t="n">
        <v>846</v>
      </c>
      <c r="Z265" s="95" t="s">
        <v>1005</v>
      </c>
      <c r="AA265" s="81" t="n">
        <v>686</v>
      </c>
      <c r="AB265" s="95" t="s">
        <v>1005</v>
      </c>
      <c r="AC265" s="81" t="n">
        <v>670</v>
      </c>
      <c r="AD265" s="95" t="s">
        <v>1005</v>
      </c>
      <c r="AE265" s="81" t="n">
        <v>761</v>
      </c>
      <c r="AF265" s="95" t="s">
        <v>1005</v>
      </c>
      <c r="AG265" s="81" t="n">
        <v>737</v>
      </c>
      <c r="AH265" s="95" t="s">
        <v>1005</v>
      </c>
      <c r="AI265" s="81" t="n">
        <v>710</v>
      </c>
      <c r="AJ265" s="95" t="s">
        <v>1005</v>
      </c>
      <c r="AK265" s="81" t="n">
        <v>704</v>
      </c>
      <c r="AL265" s="95" t="s">
        <v>1005</v>
      </c>
      <c r="AM265" s="81" t="n">
        <f aca="false">O265+Q265+S265+U265+W265+Y265+AA265+AC265+AE265+AG265+AI265+AK265</f>
        <v>8815</v>
      </c>
    </row>
    <row collapsed="false" customFormat="false" customHeight="true" hidden="false" ht="16.2" outlineLevel="0" r="266">
      <c r="A266" s="80"/>
      <c r="B266" s="101"/>
      <c r="C266" s="85"/>
      <c r="D266" s="92"/>
      <c r="E266" s="83" t="s">
        <v>1037</v>
      </c>
      <c r="F266" s="49" t="s">
        <v>1036</v>
      </c>
      <c r="G266" s="85" t="s">
        <v>1057</v>
      </c>
      <c r="H266" s="85" t="n">
        <v>38</v>
      </c>
      <c r="I266" s="85"/>
      <c r="J266" s="85"/>
      <c r="K266" s="93" t="s">
        <v>53</v>
      </c>
      <c r="L266" s="93" t="s">
        <v>53</v>
      </c>
      <c r="M266" s="81" t="n">
        <v>11914</v>
      </c>
      <c r="N266" s="81" t="n">
        <v>10094</v>
      </c>
      <c r="O266" s="90" t="n">
        <v>999</v>
      </c>
      <c r="P266" s="95" t="s">
        <v>1005</v>
      </c>
      <c r="Q266" s="81" t="n">
        <v>1029</v>
      </c>
      <c r="R266" s="95" t="s">
        <v>1005</v>
      </c>
      <c r="S266" s="81" t="n">
        <v>740</v>
      </c>
      <c r="T266" s="95" t="s">
        <v>1005</v>
      </c>
      <c r="U266" s="81" t="n">
        <v>788</v>
      </c>
      <c r="V266" s="95" t="s">
        <v>1005</v>
      </c>
      <c r="W266" s="81" t="n">
        <v>886</v>
      </c>
      <c r="X266" s="95" t="s">
        <v>1005</v>
      </c>
      <c r="Y266" s="81" t="n">
        <v>774</v>
      </c>
      <c r="Z266" s="95" t="s">
        <v>1005</v>
      </c>
      <c r="AA266" s="81" t="n">
        <v>671</v>
      </c>
      <c r="AB266" s="95" t="s">
        <v>1005</v>
      </c>
      <c r="AC266" s="81" t="n">
        <v>738</v>
      </c>
      <c r="AD266" s="95" t="s">
        <v>1005</v>
      </c>
      <c r="AE266" s="81" t="n">
        <v>882</v>
      </c>
      <c r="AF266" s="95" t="s">
        <v>1005</v>
      </c>
      <c r="AG266" s="81" t="n">
        <v>883</v>
      </c>
      <c r="AH266" s="95" t="s">
        <v>1005</v>
      </c>
      <c r="AI266" s="81" t="n">
        <v>931</v>
      </c>
      <c r="AJ266" s="95" t="s">
        <v>1005</v>
      </c>
      <c r="AK266" s="81" t="n">
        <v>921</v>
      </c>
      <c r="AL266" s="95" t="s">
        <v>1005</v>
      </c>
      <c r="AM266" s="81" t="n">
        <f aca="false">O266+Q266+S266+U266+W266+Y266+AA266+AC266+AE266+AG266+AI266+AK266</f>
        <v>10242</v>
      </c>
    </row>
    <row collapsed="false" customFormat="false" customHeight="true" hidden="false" ht="16.2" outlineLevel="0" r="267">
      <c r="A267" s="80" t="n">
        <v>130</v>
      </c>
      <c r="B267" s="100" t="s">
        <v>231</v>
      </c>
      <c r="C267" s="82" t="s">
        <v>1033</v>
      </c>
      <c r="D267" s="92" t="s">
        <v>1056</v>
      </c>
      <c r="E267" s="83" t="s">
        <v>1035</v>
      </c>
      <c r="F267" s="49" t="s">
        <v>1036</v>
      </c>
      <c r="G267" s="92"/>
      <c r="H267" s="85"/>
      <c r="I267" s="85"/>
      <c r="J267" s="85"/>
      <c r="K267" s="93"/>
      <c r="L267" s="93"/>
      <c r="M267" s="81"/>
      <c r="N267" s="81"/>
      <c r="O267" s="90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81"/>
    </row>
    <row collapsed="false" customFormat="false" customHeight="true" hidden="false" ht="16.2" outlineLevel="0" r="268">
      <c r="A268" s="80"/>
      <c r="B268" s="101"/>
      <c r="C268" s="85"/>
      <c r="D268" s="92"/>
      <c r="E268" s="83" t="s">
        <v>1037</v>
      </c>
      <c r="F268" s="49" t="s">
        <v>1036</v>
      </c>
      <c r="G268" s="85" t="s">
        <v>1057</v>
      </c>
      <c r="H268" s="85" t="n">
        <v>30</v>
      </c>
      <c r="I268" s="85"/>
      <c r="J268" s="85"/>
      <c r="K268" s="93" t="s">
        <v>53</v>
      </c>
      <c r="L268" s="93" t="s">
        <v>53</v>
      </c>
      <c r="M268" s="81" t="n">
        <v>5973</v>
      </c>
      <c r="N268" s="81" t="n">
        <v>6536</v>
      </c>
      <c r="O268" s="90" t="n">
        <v>621</v>
      </c>
      <c r="P268" s="95" t="s">
        <v>1005</v>
      </c>
      <c r="Q268" s="81" t="n">
        <v>608</v>
      </c>
      <c r="R268" s="95" t="s">
        <v>1005</v>
      </c>
      <c r="S268" s="81" t="n">
        <v>364</v>
      </c>
      <c r="T268" s="95" t="s">
        <v>1005</v>
      </c>
      <c r="U268" s="81" t="n">
        <v>439</v>
      </c>
      <c r="V268" s="95" t="s">
        <v>1005</v>
      </c>
      <c r="W268" s="81" t="n">
        <v>400</v>
      </c>
      <c r="X268" s="95" t="s">
        <v>1005</v>
      </c>
      <c r="Y268" s="81" t="n">
        <v>407</v>
      </c>
      <c r="Z268" s="95" t="s">
        <v>1005</v>
      </c>
      <c r="AA268" s="81" t="n">
        <v>346</v>
      </c>
      <c r="AB268" s="95" t="s">
        <v>1005</v>
      </c>
      <c r="AC268" s="81" t="n">
        <v>350</v>
      </c>
      <c r="AD268" s="95" t="s">
        <v>1005</v>
      </c>
      <c r="AE268" s="81" t="n">
        <v>387</v>
      </c>
      <c r="AF268" s="95" t="s">
        <v>1005</v>
      </c>
      <c r="AG268" s="81" t="n">
        <v>447</v>
      </c>
      <c r="AH268" s="95" t="s">
        <v>1005</v>
      </c>
      <c r="AI268" s="81" t="n">
        <v>557</v>
      </c>
      <c r="AJ268" s="95" t="s">
        <v>1005</v>
      </c>
      <c r="AK268" s="81" t="n">
        <v>530</v>
      </c>
      <c r="AL268" s="95" t="s">
        <v>1005</v>
      </c>
      <c r="AM268" s="81" t="n">
        <f aca="false">O268+Q268+S268+U268+W268+Y268+AA268+AC268+AE268+AG268+AI268+AK268</f>
        <v>5456</v>
      </c>
    </row>
    <row collapsed="false" customFormat="false" customHeight="true" hidden="false" ht="16.2" outlineLevel="0" r="269">
      <c r="A269" s="80" t="n">
        <v>131</v>
      </c>
      <c r="B269" s="100" t="s">
        <v>232</v>
      </c>
      <c r="C269" s="82" t="s">
        <v>1033</v>
      </c>
      <c r="D269" s="92" t="s">
        <v>1056</v>
      </c>
      <c r="E269" s="83" t="s">
        <v>1035</v>
      </c>
      <c r="F269" s="49" t="s">
        <v>1036</v>
      </c>
      <c r="G269" s="92"/>
      <c r="H269" s="85"/>
      <c r="I269" s="85"/>
      <c r="J269" s="85"/>
      <c r="K269" s="93" t="s">
        <v>53</v>
      </c>
      <c r="L269" s="93" t="s">
        <v>53</v>
      </c>
      <c r="M269" s="81" t="n">
        <v>8073</v>
      </c>
      <c r="N269" s="81" t="n">
        <v>5719</v>
      </c>
      <c r="O269" s="90" t="n">
        <v>596</v>
      </c>
      <c r="P269" s="95" t="s">
        <v>1005</v>
      </c>
      <c r="Q269" s="81" t="n">
        <v>676</v>
      </c>
      <c r="R269" s="95" t="s">
        <v>1005</v>
      </c>
      <c r="S269" s="81" t="n">
        <v>444</v>
      </c>
      <c r="T269" s="95" t="s">
        <v>1005</v>
      </c>
      <c r="U269" s="81" t="n">
        <v>563</v>
      </c>
      <c r="V269" s="95" t="s">
        <v>1005</v>
      </c>
      <c r="W269" s="81" t="n">
        <v>639</v>
      </c>
      <c r="X269" s="95" t="s">
        <v>1005</v>
      </c>
      <c r="Y269" s="81" t="n">
        <v>513</v>
      </c>
      <c r="Z269" s="95" t="s">
        <v>1005</v>
      </c>
      <c r="AA269" s="81" t="n">
        <v>460</v>
      </c>
      <c r="AB269" s="95" t="s">
        <v>1005</v>
      </c>
      <c r="AC269" s="81" t="n">
        <v>484</v>
      </c>
      <c r="AD269" s="95" t="s">
        <v>1005</v>
      </c>
      <c r="AE269" s="81" t="n">
        <v>658</v>
      </c>
      <c r="AF269" s="95" t="s">
        <v>1005</v>
      </c>
      <c r="AG269" s="81" t="n">
        <v>605</v>
      </c>
      <c r="AH269" s="95" t="s">
        <v>1005</v>
      </c>
      <c r="AI269" s="81" t="n">
        <v>702</v>
      </c>
      <c r="AJ269" s="95" t="s">
        <v>1005</v>
      </c>
      <c r="AK269" s="81" t="n">
        <v>679</v>
      </c>
      <c r="AL269" s="95" t="s">
        <v>1005</v>
      </c>
      <c r="AM269" s="81" t="n">
        <f aca="false">O269+Q269+S269+U269+W269+Y269+AA269+AC269+AE269+AG269+AI269+AK269</f>
        <v>7019</v>
      </c>
    </row>
    <row collapsed="false" customFormat="false" customHeight="true" hidden="false" ht="16.2" outlineLevel="0" r="270">
      <c r="A270" s="80"/>
      <c r="B270" s="101"/>
      <c r="C270" s="85"/>
      <c r="D270" s="92"/>
      <c r="E270" s="83" t="s">
        <v>1037</v>
      </c>
      <c r="F270" s="49" t="s">
        <v>1036</v>
      </c>
      <c r="G270" s="85" t="s">
        <v>1057</v>
      </c>
      <c r="H270" s="85" t="n">
        <v>38</v>
      </c>
      <c r="I270" s="85"/>
      <c r="J270" s="85"/>
      <c r="K270" s="93" t="s">
        <v>53</v>
      </c>
      <c r="L270" s="93" t="s">
        <v>53</v>
      </c>
      <c r="M270" s="81" t="n">
        <v>6663</v>
      </c>
      <c r="N270" s="81" t="n">
        <v>6944</v>
      </c>
      <c r="O270" s="90" t="n">
        <v>873</v>
      </c>
      <c r="P270" s="95" t="s">
        <v>1005</v>
      </c>
      <c r="Q270" s="81" t="n">
        <v>972</v>
      </c>
      <c r="R270" s="95" t="s">
        <v>1005</v>
      </c>
      <c r="S270" s="81" t="n">
        <v>622</v>
      </c>
      <c r="T270" s="95" t="s">
        <v>1005</v>
      </c>
      <c r="U270" s="81" t="n">
        <v>732</v>
      </c>
      <c r="V270" s="95" t="s">
        <v>1005</v>
      </c>
      <c r="W270" s="81" t="n">
        <v>622</v>
      </c>
      <c r="X270" s="95" t="s">
        <v>1005</v>
      </c>
      <c r="Y270" s="81" t="n">
        <v>614</v>
      </c>
      <c r="Z270" s="95" t="s">
        <v>1005</v>
      </c>
      <c r="AA270" s="81" t="n">
        <v>493</v>
      </c>
      <c r="AB270" s="95" t="s">
        <v>1005</v>
      </c>
      <c r="AC270" s="81" t="n">
        <v>471</v>
      </c>
      <c r="AD270" s="95" t="s">
        <v>1005</v>
      </c>
      <c r="AE270" s="81" t="n">
        <v>653</v>
      </c>
      <c r="AF270" s="95" t="s">
        <v>1005</v>
      </c>
      <c r="AG270" s="81" t="n">
        <v>635</v>
      </c>
      <c r="AH270" s="95" t="s">
        <v>1005</v>
      </c>
      <c r="AI270" s="81" t="n">
        <v>810</v>
      </c>
      <c r="AJ270" s="95" t="s">
        <v>1005</v>
      </c>
      <c r="AK270" s="81" t="n">
        <v>796</v>
      </c>
      <c r="AL270" s="95" t="s">
        <v>1005</v>
      </c>
      <c r="AM270" s="81" t="n">
        <f aca="false">O270+Q270+S270+U270+W270+Y270+AA270+AC270+AE270+AG270+AI270+AK270</f>
        <v>8293</v>
      </c>
    </row>
    <row collapsed="false" customFormat="false" customHeight="true" hidden="false" ht="16.2" outlineLevel="0" r="271">
      <c r="A271" s="80" t="n">
        <v>132</v>
      </c>
      <c r="B271" s="100" t="s">
        <v>233</v>
      </c>
      <c r="C271" s="82" t="s">
        <v>1033</v>
      </c>
      <c r="D271" s="92" t="s">
        <v>1056</v>
      </c>
      <c r="E271" s="83" t="s">
        <v>1035</v>
      </c>
      <c r="F271" s="49" t="s">
        <v>1036</v>
      </c>
      <c r="G271" s="92"/>
      <c r="H271" s="85"/>
      <c r="I271" s="85"/>
      <c r="J271" s="85"/>
      <c r="K271" s="93"/>
      <c r="L271" s="93"/>
      <c r="M271" s="81"/>
      <c r="N271" s="81"/>
      <c r="O271" s="90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81"/>
    </row>
    <row collapsed="false" customFormat="false" customHeight="true" hidden="false" ht="16.2" outlineLevel="0" r="272">
      <c r="A272" s="80"/>
      <c r="B272" s="101"/>
      <c r="C272" s="85"/>
      <c r="D272" s="92"/>
      <c r="E272" s="83" t="s">
        <v>1037</v>
      </c>
      <c r="F272" s="49" t="s">
        <v>1036</v>
      </c>
      <c r="G272" s="85" t="s">
        <v>1057</v>
      </c>
      <c r="H272" s="85" t="n">
        <v>36</v>
      </c>
      <c r="I272" s="85" t="s">
        <v>1046</v>
      </c>
      <c r="J272" s="85" t="n">
        <v>6</v>
      </c>
      <c r="K272" s="93" t="s">
        <v>53</v>
      </c>
      <c r="L272" s="93" t="s">
        <v>53</v>
      </c>
      <c r="M272" s="81" t="n">
        <v>11705</v>
      </c>
      <c r="N272" s="81" t="n">
        <v>13904</v>
      </c>
      <c r="O272" s="90" t="n">
        <v>1721</v>
      </c>
      <c r="P272" s="95" t="s">
        <v>1005</v>
      </c>
      <c r="Q272" s="81" t="n">
        <v>1642</v>
      </c>
      <c r="R272" s="95" t="s">
        <v>1005</v>
      </c>
      <c r="S272" s="81" t="n">
        <v>985</v>
      </c>
      <c r="T272" s="95" t="s">
        <v>1005</v>
      </c>
      <c r="U272" s="81" t="n">
        <v>1033</v>
      </c>
      <c r="V272" s="95" t="s">
        <v>1005</v>
      </c>
      <c r="W272" s="81" t="n">
        <v>737</v>
      </c>
      <c r="X272" s="95" t="s">
        <v>1005</v>
      </c>
      <c r="Y272" s="81" t="n">
        <v>581</v>
      </c>
      <c r="Z272" s="95" t="s">
        <v>1005</v>
      </c>
      <c r="AA272" s="81" t="n">
        <v>563</v>
      </c>
      <c r="AB272" s="95" t="s">
        <v>1005</v>
      </c>
      <c r="AC272" s="81" t="n">
        <v>739</v>
      </c>
      <c r="AD272" s="95" t="s">
        <v>1005</v>
      </c>
      <c r="AE272" s="81" t="n">
        <v>863</v>
      </c>
      <c r="AF272" s="95" t="s">
        <v>1005</v>
      </c>
      <c r="AG272" s="81" t="n">
        <v>1156</v>
      </c>
      <c r="AH272" s="95" t="s">
        <v>1005</v>
      </c>
      <c r="AI272" s="81" t="n">
        <v>1465</v>
      </c>
      <c r="AJ272" s="95" t="s">
        <v>1005</v>
      </c>
      <c r="AK272" s="81" t="n">
        <v>1451</v>
      </c>
      <c r="AL272" s="95" t="s">
        <v>1005</v>
      </c>
      <c r="AM272" s="81" t="n">
        <f aca="false">O272+Q272+S272+U272+W272+Y272+AA272+AC272+AE272+AG272+AI272+AK272</f>
        <v>12936</v>
      </c>
    </row>
    <row collapsed="false" customFormat="false" customHeight="true" hidden="false" ht="16.2" outlineLevel="0" r="273">
      <c r="A273" s="80" t="n">
        <v>133</v>
      </c>
      <c r="B273" s="81"/>
      <c r="C273" s="82" t="s">
        <v>1033</v>
      </c>
      <c r="D273" s="85"/>
      <c r="E273" s="83" t="s">
        <v>1035</v>
      </c>
      <c r="F273" s="49" t="s">
        <v>1036</v>
      </c>
      <c r="G273" s="85"/>
      <c r="H273" s="85"/>
      <c r="I273" s="85"/>
      <c r="J273" s="85"/>
      <c r="K273" s="85"/>
      <c r="L273" s="85"/>
      <c r="M273" s="81"/>
      <c r="N273" s="81"/>
      <c r="O273" s="96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</row>
    <row collapsed="false" customFormat="false" customHeight="true" hidden="false" ht="16.2" outlineLevel="0" r="274">
      <c r="A274" s="80"/>
      <c r="B274" s="81" t="s">
        <v>235</v>
      </c>
      <c r="C274" s="85"/>
      <c r="D274" s="85" t="s">
        <v>1054</v>
      </c>
      <c r="E274" s="83" t="s">
        <v>1037</v>
      </c>
      <c r="F274" s="49" t="s">
        <v>1036</v>
      </c>
      <c r="G274" s="85" t="s">
        <v>1042</v>
      </c>
      <c r="H274" s="85" t="n">
        <v>6</v>
      </c>
      <c r="I274" s="85" t="s">
        <v>1040</v>
      </c>
      <c r="J274" s="85" t="n">
        <v>2</v>
      </c>
      <c r="K274" s="85" t="s">
        <v>1041</v>
      </c>
      <c r="L274" s="85" t="s">
        <v>1041</v>
      </c>
      <c r="M274" s="81" t="n">
        <v>708</v>
      </c>
      <c r="N274" s="81"/>
      <c r="O274" s="96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</row>
    <row collapsed="false" customFormat="false" customHeight="true" hidden="false" ht="16.2" outlineLevel="0" r="275">
      <c r="A275" s="80" t="n">
        <v>134</v>
      </c>
      <c r="B275" s="81"/>
      <c r="C275" s="82" t="s">
        <v>1033</v>
      </c>
      <c r="D275" s="85"/>
      <c r="E275" s="83" t="s">
        <v>1035</v>
      </c>
      <c r="F275" s="49" t="s">
        <v>1036</v>
      </c>
      <c r="G275" s="85"/>
      <c r="H275" s="85"/>
      <c r="I275" s="85"/>
      <c r="J275" s="85"/>
      <c r="K275" s="85"/>
      <c r="L275" s="85"/>
      <c r="M275" s="81"/>
      <c r="N275" s="81"/>
      <c r="O275" s="96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</row>
    <row collapsed="false" customFormat="false" customHeight="true" hidden="false" ht="16.2" outlineLevel="0" r="276">
      <c r="A276" s="80"/>
      <c r="B276" s="81" t="s">
        <v>236</v>
      </c>
      <c r="C276" s="85"/>
      <c r="D276" s="85" t="s">
        <v>1054</v>
      </c>
      <c r="E276" s="83" t="s">
        <v>1037</v>
      </c>
      <c r="F276" s="49" t="s">
        <v>1036</v>
      </c>
      <c r="G276" s="85" t="s">
        <v>1042</v>
      </c>
      <c r="H276" s="85" t="n">
        <v>4</v>
      </c>
      <c r="I276" s="85" t="n">
        <v>0</v>
      </c>
      <c r="J276" s="85" t="n">
        <v>0</v>
      </c>
      <c r="K276" s="85" t="s">
        <v>1041</v>
      </c>
      <c r="L276" s="85" t="s">
        <v>1041</v>
      </c>
      <c r="M276" s="81"/>
      <c r="N276" s="81"/>
      <c r="O276" s="96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</row>
    <row collapsed="false" customFormat="false" customHeight="true" hidden="false" ht="16.2" outlineLevel="0" r="277">
      <c r="A277" s="80" t="n">
        <v>135</v>
      </c>
      <c r="B277" s="81"/>
      <c r="C277" s="82" t="s">
        <v>1033</v>
      </c>
      <c r="D277" s="85"/>
      <c r="E277" s="83" t="s">
        <v>1035</v>
      </c>
      <c r="F277" s="49" t="s">
        <v>1036</v>
      </c>
      <c r="G277" s="85"/>
      <c r="H277" s="85"/>
      <c r="I277" s="85"/>
      <c r="J277" s="85"/>
      <c r="K277" s="85"/>
      <c r="L277" s="85"/>
      <c r="M277" s="81"/>
      <c r="N277" s="81"/>
      <c r="O277" s="96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</row>
    <row collapsed="false" customFormat="false" customHeight="true" hidden="false" ht="16.2" outlineLevel="0" r="278">
      <c r="A278" s="80"/>
      <c r="B278" s="81" t="s">
        <v>237</v>
      </c>
      <c r="C278" s="85"/>
      <c r="D278" s="85" t="s">
        <v>1054</v>
      </c>
      <c r="E278" s="83" t="s">
        <v>1037</v>
      </c>
      <c r="F278" s="49" t="s">
        <v>1036</v>
      </c>
      <c r="G278" s="85" t="s">
        <v>1042</v>
      </c>
      <c r="H278" s="85" t="n">
        <v>4</v>
      </c>
      <c r="I278" s="85" t="n">
        <v>0</v>
      </c>
      <c r="J278" s="85" t="n">
        <v>0</v>
      </c>
      <c r="K278" s="85" t="s">
        <v>1041</v>
      </c>
      <c r="L278" s="85" t="s">
        <v>1041</v>
      </c>
      <c r="M278" s="81"/>
      <c r="N278" s="81"/>
      <c r="O278" s="96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</row>
    <row collapsed="false" customFormat="false" customHeight="true" hidden="false" ht="16.2" outlineLevel="0" r="279">
      <c r="A279" s="80" t="n">
        <v>136</v>
      </c>
      <c r="B279" s="81"/>
      <c r="C279" s="82" t="s">
        <v>1033</v>
      </c>
      <c r="D279" s="85"/>
      <c r="E279" s="83" t="s">
        <v>1035</v>
      </c>
      <c r="F279" s="49" t="s">
        <v>1036</v>
      </c>
      <c r="G279" s="85"/>
      <c r="H279" s="85"/>
      <c r="I279" s="85"/>
      <c r="J279" s="85"/>
      <c r="K279" s="85"/>
      <c r="L279" s="85"/>
      <c r="M279" s="81"/>
      <c r="N279" s="81"/>
      <c r="O279" s="96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</row>
    <row collapsed="false" customFormat="false" customHeight="true" hidden="false" ht="16.2" outlineLevel="0" r="280">
      <c r="A280" s="80"/>
      <c r="B280" s="81" t="s">
        <v>239</v>
      </c>
      <c r="C280" s="85"/>
      <c r="D280" s="85" t="s">
        <v>1054</v>
      </c>
      <c r="E280" s="83" t="s">
        <v>1037</v>
      </c>
      <c r="F280" s="49" t="s">
        <v>1036</v>
      </c>
      <c r="G280" s="85" t="s">
        <v>1042</v>
      </c>
      <c r="H280" s="85" t="n">
        <v>4</v>
      </c>
      <c r="I280" s="85" t="s">
        <v>1039</v>
      </c>
      <c r="J280" s="85" t="n">
        <v>1</v>
      </c>
      <c r="K280" s="85" t="s">
        <v>1041</v>
      </c>
      <c r="L280" s="85" t="s">
        <v>1041</v>
      </c>
      <c r="M280" s="81" t="n">
        <v>48372</v>
      </c>
      <c r="N280" s="81"/>
      <c r="O280" s="96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</row>
    <row collapsed="false" customFormat="false" customHeight="true" hidden="false" ht="16.2" outlineLevel="0" r="281">
      <c r="A281" s="80" t="n">
        <v>137</v>
      </c>
      <c r="B281" s="81"/>
      <c r="C281" s="82" t="s">
        <v>1033</v>
      </c>
      <c r="D281" s="85"/>
      <c r="E281" s="83" t="s">
        <v>1035</v>
      </c>
      <c r="F281" s="49" t="s">
        <v>1036</v>
      </c>
      <c r="G281" s="85"/>
      <c r="H281" s="85"/>
      <c r="I281" s="85"/>
      <c r="J281" s="85"/>
      <c r="K281" s="85"/>
      <c r="L281" s="85"/>
      <c r="M281" s="81"/>
      <c r="N281" s="81"/>
      <c r="O281" s="96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</row>
    <row collapsed="false" customFormat="false" customHeight="true" hidden="false" ht="16.2" outlineLevel="0" r="282">
      <c r="A282" s="80"/>
      <c r="B282" s="81" t="s">
        <v>241</v>
      </c>
      <c r="C282" s="85"/>
      <c r="D282" s="85" t="s">
        <v>1054</v>
      </c>
      <c r="E282" s="83" t="s">
        <v>1037</v>
      </c>
      <c r="F282" s="49" t="s">
        <v>1036</v>
      </c>
      <c r="G282" s="85" t="s">
        <v>1039</v>
      </c>
      <c r="H282" s="85" t="n">
        <v>12</v>
      </c>
      <c r="I282" s="85" t="s">
        <v>1039</v>
      </c>
      <c r="J282" s="85" t="n">
        <v>1</v>
      </c>
      <c r="K282" s="85" t="s">
        <v>1041</v>
      </c>
      <c r="L282" s="85" t="s">
        <v>1041</v>
      </c>
      <c r="M282" s="81" t="n">
        <v>1788</v>
      </c>
      <c r="N282" s="81"/>
      <c r="O282" s="96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</row>
    <row collapsed="false" customFormat="false" customHeight="true" hidden="false" ht="16.2" outlineLevel="0" r="283">
      <c r="A283" s="80" t="n">
        <v>138</v>
      </c>
      <c r="B283" s="81"/>
      <c r="C283" s="82" t="s">
        <v>1033</v>
      </c>
      <c r="D283" s="85"/>
      <c r="E283" s="83" t="s">
        <v>1035</v>
      </c>
      <c r="F283" s="49" t="s">
        <v>1036</v>
      </c>
      <c r="G283" s="85"/>
      <c r="H283" s="85"/>
      <c r="I283" s="85"/>
      <c r="J283" s="85"/>
      <c r="K283" s="85"/>
      <c r="L283" s="85"/>
      <c r="M283" s="81"/>
      <c r="N283" s="81"/>
      <c r="O283" s="96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</row>
    <row collapsed="false" customFormat="false" customHeight="true" hidden="false" ht="16.2" outlineLevel="0" r="284">
      <c r="A284" s="80"/>
      <c r="B284" s="81" t="s">
        <v>1058</v>
      </c>
      <c r="C284" s="85"/>
      <c r="D284" s="85" t="s">
        <v>1054</v>
      </c>
      <c r="E284" s="83" t="s">
        <v>1037</v>
      </c>
      <c r="F284" s="49" t="s">
        <v>1036</v>
      </c>
      <c r="G284" s="85" t="s">
        <v>1039</v>
      </c>
      <c r="H284" s="85" t="n">
        <v>18</v>
      </c>
      <c r="I284" s="85" t="s">
        <v>1059</v>
      </c>
      <c r="J284" s="85" t="n">
        <v>3</v>
      </c>
      <c r="K284" s="85" t="s">
        <v>1041</v>
      </c>
      <c r="L284" s="85" t="s">
        <v>1041</v>
      </c>
      <c r="M284" s="81" t="n">
        <v>5652</v>
      </c>
      <c r="N284" s="81"/>
      <c r="O284" s="96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</row>
    <row collapsed="false" customFormat="false" customHeight="true" hidden="false" ht="16.2" outlineLevel="0" r="285">
      <c r="A285" s="80" t="n">
        <v>139</v>
      </c>
      <c r="B285" s="81"/>
      <c r="C285" s="82" t="s">
        <v>1033</v>
      </c>
      <c r="D285" s="85"/>
      <c r="E285" s="83" t="s">
        <v>1035</v>
      </c>
      <c r="F285" s="49" t="s">
        <v>1036</v>
      </c>
      <c r="G285" s="85"/>
      <c r="H285" s="85"/>
      <c r="I285" s="85"/>
      <c r="J285" s="85"/>
      <c r="K285" s="85"/>
      <c r="L285" s="85"/>
      <c r="M285" s="81"/>
      <c r="N285" s="81"/>
      <c r="O285" s="96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</row>
    <row collapsed="false" customFormat="false" customHeight="true" hidden="false" ht="16.2" outlineLevel="0" r="286">
      <c r="A286" s="80"/>
      <c r="B286" s="81" t="s">
        <v>1060</v>
      </c>
      <c r="C286" s="85"/>
      <c r="D286" s="85" t="s">
        <v>1054</v>
      </c>
      <c r="E286" s="83" t="s">
        <v>1037</v>
      </c>
      <c r="F286" s="49" t="s">
        <v>1036</v>
      </c>
      <c r="G286" s="85" t="s">
        <v>1039</v>
      </c>
      <c r="H286" s="85" t="n">
        <v>18</v>
      </c>
      <c r="I286" s="85" t="s">
        <v>1059</v>
      </c>
      <c r="J286" s="85" t="n">
        <v>3</v>
      </c>
      <c r="K286" s="85" t="s">
        <v>1041</v>
      </c>
      <c r="L286" s="85" t="s">
        <v>1041</v>
      </c>
      <c r="M286" s="81" t="n">
        <v>6990</v>
      </c>
      <c r="N286" s="81"/>
      <c r="O286" s="96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</row>
    <row collapsed="false" customFormat="false" customHeight="true" hidden="false" ht="16.2" outlineLevel="0" r="287">
      <c r="A287" s="80" t="n">
        <v>140</v>
      </c>
      <c r="B287" s="81"/>
      <c r="C287" s="82" t="s">
        <v>1033</v>
      </c>
      <c r="D287" s="85"/>
      <c r="E287" s="83" t="s">
        <v>1035</v>
      </c>
      <c r="F287" s="49" t="s">
        <v>1036</v>
      </c>
      <c r="G287" s="85"/>
      <c r="H287" s="85"/>
      <c r="I287" s="85"/>
      <c r="J287" s="85"/>
      <c r="K287" s="85"/>
      <c r="L287" s="85"/>
      <c r="M287" s="81" t="n">
        <v>6603</v>
      </c>
      <c r="N287" s="81"/>
      <c r="O287" s="96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</row>
    <row collapsed="false" customFormat="false" customHeight="true" hidden="false" ht="16.2" outlineLevel="0" r="288">
      <c r="A288" s="80"/>
      <c r="B288" s="81" t="s">
        <v>244</v>
      </c>
      <c r="C288" s="85"/>
      <c r="D288" s="85" t="s">
        <v>1054</v>
      </c>
      <c r="E288" s="83" t="s">
        <v>1037</v>
      </c>
      <c r="F288" s="49" t="s">
        <v>1036</v>
      </c>
      <c r="G288" s="85" t="s">
        <v>1039</v>
      </c>
      <c r="H288" s="85" t="n">
        <v>54</v>
      </c>
      <c r="I288" s="85" t="s">
        <v>1039</v>
      </c>
      <c r="J288" s="85" t="n">
        <v>2</v>
      </c>
      <c r="K288" s="85" t="s">
        <v>1041</v>
      </c>
      <c r="L288" s="85" t="s">
        <v>1041</v>
      </c>
      <c r="M288" s="81" t="n">
        <v>6603</v>
      </c>
      <c r="N288" s="81"/>
      <c r="O288" s="96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</row>
    <row collapsed="false" customFormat="false" customHeight="true" hidden="false" ht="16.2" outlineLevel="0" r="289">
      <c r="A289" s="80" t="n">
        <v>141</v>
      </c>
      <c r="B289" s="81"/>
      <c r="C289" s="82" t="s">
        <v>1033</v>
      </c>
      <c r="D289" s="85"/>
      <c r="E289" s="83" t="s">
        <v>1035</v>
      </c>
      <c r="F289" s="49" t="s">
        <v>1036</v>
      </c>
      <c r="G289" s="85"/>
      <c r="H289" s="85"/>
      <c r="I289" s="85"/>
      <c r="J289" s="85"/>
      <c r="K289" s="85"/>
      <c r="L289" s="85"/>
      <c r="M289" s="81" t="n">
        <v>6075</v>
      </c>
      <c r="N289" s="81"/>
      <c r="O289" s="96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</row>
    <row collapsed="false" customFormat="false" customHeight="true" hidden="false" ht="16.2" outlineLevel="0" r="290">
      <c r="A290" s="80"/>
      <c r="B290" s="81" t="s">
        <v>245</v>
      </c>
      <c r="C290" s="85"/>
      <c r="D290" s="85" t="s">
        <v>1054</v>
      </c>
      <c r="E290" s="83" t="s">
        <v>1037</v>
      </c>
      <c r="F290" s="49" t="s">
        <v>1036</v>
      </c>
      <c r="G290" s="85" t="s">
        <v>1052</v>
      </c>
      <c r="H290" s="85" t="n">
        <v>48</v>
      </c>
      <c r="I290" s="85" t="s">
        <v>1059</v>
      </c>
      <c r="J290" s="85" t="n">
        <v>3</v>
      </c>
      <c r="K290" s="85" t="s">
        <v>1041</v>
      </c>
      <c r="L290" s="85" t="s">
        <v>1041</v>
      </c>
      <c r="M290" s="81" t="n">
        <v>6075</v>
      </c>
      <c r="N290" s="81"/>
      <c r="O290" s="96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</row>
    <row collapsed="false" customFormat="false" customHeight="true" hidden="false" ht="16.2" outlineLevel="0" r="291">
      <c r="A291" s="80" t="n">
        <v>142</v>
      </c>
      <c r="B291" s="81"/>
      <c r="C291" s="82" t="s">
        <v>1033</v>
      </c>
      <c r="D291" s="85"/>
      <c r="E291" s="83" t="s">
        <v>1035</v>
      </c>
      <c r="F291" s="49" t="s">
        <v>1036</v>
      </c>
      <c r="G291" s="85"/>
      <c r="H291" s="85"/>
      <c r="I291" s="85"/>
      <c r="J291" s="85"/>
      <c r="K291" s="85"/>
      <c r="L291" s="85"/>
      <c r="M291" s="81"/>
      <c r="N291" s="81"/>
      <c r="O291" s="96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</row>
    <row collapsed="false" customFormat="false" customHeight="true" hidden="false" ht="16.2" outlineLevel="0" r="292">
      <c r="A292" s="80"/>
      <c r="B292" s="81" t="s">
        <v>247</v>
      </c>
      <c r="C292" s="85"/>
      <c r="D292" s="85" t="s">
        <v>1054</v>
      </c>
      <c r="E292" s="83" t="s">
        <v>1037</v>
      </c>
      <c r="F292" s="49" t="s">
        <v>1036</v>
      </c>
      <c r="G292" s="85" t="s">
        <v>1042</v>
      </c>
      <c r="H292" s="85" t="n">
        <v>18</v>
      </c>
      <c r="I292" s="85" t="s">
        <v>1039</v>
      </c>
      <c r="J292" s="85" t="n">
        <v>3</v>
      </c>
      <c r="K292" s="85" t="s">
        <v>1041</v>
      </c>
      <c r="L292" s="85" t="s">
        <v>1041</v>
      </c>
      <c r="M292" s="81" t="n">
        <v>4020</v>
      </c>
      <c r="N292" s="81"/>
      <c r="O292" s="96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</row>
    <row collapsed="false" customFormat="false" customHeight="true" hidden="false" ht="16.2" outlineLevel="0" r="293">
      <c r="A293" s="80" t="n">
        <v>143</v>
      </c>
      <c r="B293" s="81"/>
      <c r="C293" s="82" t="s">
        <v>1033</v>
      </c>
      <c r="D293" s="85"/>
      <c r="E293" s="83" t="s">
        <v>1035</v>
      </c>
      <c r="F293" s="49" t="s">
        <v>1036</v>
      </c>
      <c r="G293" s="85"/>
      <c r="H293" s="85"/>
      <c r="I293" s="85"/>
      <c r="J293" s="85"/>
      <c r="K293" s="85"/>
      <c r="L293" s="85"/>
      <c r="M293" s="81" t="n">
        <v>1891</v>
      </c>
      <c r="N293" s="81"/>
      <c r="O293" s="96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</row>
    <row collapsed="false" customFormat="false" customHeight="true" hidden="false" ht="16.2" outlineLevel="0" r="294">
      <c r="A294" s="80"/>
      <c r="B294" s="81" t="s">
        <v>248</v>
      </c>
      <c r="C294" s="85"/>
      <c r="D294" s="85" t="s">
        <v>1054</v>
      </c>
      <c r="E294" s="83" t="s">
        <v>1037</v>
      </c>
      <c r="F294" s="49" t="s">
        <v>1036</v>
      </c>
      <c r="G294" s="85" t="s">
        <v>1052</v>
      </c>
      <c r="H294" s="85" t="n">
        <v>102</v>
      </c>
      <c r="I294" s="85" t="s">
        <v>1059</v>
      </c>
      <c r="J294" s="85" t="n">
        <v>7</v>
      </c>
      <c r="K294" s="85" t="s">
        <v>1041</v>
      </c>
      <c r="L294" s="85" t="s">
        <v>1041</v>
      </c>
      <c r="M294" s="81" t="n">
        <v>1891</v>
      </c>
      <c r="N294" s="81"/>
      <c r="O294" s="96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</row>
    <row collapsed="false" customFormat="false" customHeight="true" hidden="false" ht="16.2" outlineLevel="0" r="295">
      <c r="A295" s="80" t="n">
        <v>144</v>
      </c>
      <c r="B295" s="100" t="s">
        <v>250</v>
      </c>
      <c r="C295" s="82" t="s">
        <v>1033</v>
      </c>
      <c r="D295" s="92" t="s">
        <v>1056</v>
      </c>
      <c r="E295" s="83" t="s">
        <v>1035</v>
      </c>
      <c r="F295" s="49" t="s">
        <v>1036</v>
      </c>
      <c r="G295" s="92"/>
      <c r="H295" s="85"/>
      <c r="I295" s="85"/>
      <c r="J295" s="85"/>
      <c r="K295" s="93"/>
      <c r="L295" s="93"/>
      <c r="M295" s="81"/>
      <c r="N295" s="81"/>
      <c r="O295" s="90"/>
      <c r="P295" s="95"/>
      <c r="Q295" s="81"/>
      <c r="R295" s="95"/>
      <c r="S295" s="81"/>
      <c r="T295" s="95"/>
      <c r="U295" s="81"/>
      <c r="V295" s="95"/>
      <c r="W295" s="81"/>
      <c r="X295" s="95"/>
      <c r="Y295" s="81"/>
      <c r="Z295" s="95"/>
      <c r="AA295" s="81"/>
      <c r="AB295" s="95"/>
      <c r="AC295" s="81"/>
      <c r="AD295" s="95"/>
      <c r="AE295" s="81"/>
      <c r="AF295" s="95"/>
      <c r="AG295" s="81"/>
      <c r="AH295" s="95"/>
      <c r="AI295" s="81"/>
      <c r="AJ295" s="95"/>
      <c r="AK295" s="81"/>
      <c r="AL295" s="95"/>
      <c r="AM295" s="81"/>
    </row>
    <row collapsed="false" customFormat="false" customHeight="true" hidden="false" ht="16.2" outlineLevel="0" r="296">
      <c r="A296" s="80"/>
      <c r="B296" s="101"/>
      <c r="C296" s="85"/>
      <c r="D296" s="92"/>
      <c r="E296" s="83" t="s">
        <v>1037</v>
      </c>
      <c r="F296" s="49" t="s">
        <v>1036</v>
      </c>
      <c r="G296" s="85" t="s">
        <v>1057</v>
      </c>
      <c r="H296" s="85" t="n">
        <v>20</v>
      </c>
      <c r="I296" s="85"/>
      <c r="J296" s="85"/>
      <c r="K296" s="93" t="s">
        <v>53</v>
      </c>
      <c r="L296" s="93" t="s">
        <v>53</v>
      </c>
      <c r="M296" s="81" t="n">
        <v>5047</v>
      </c>
      <c r="N296" s="81" t="n">
        <v>4383</v>
      </c>
      <c r="O296" s="90" t="n">
        <v>523</v>
      </c>
      <c r="P296" s="95" t="s">
        <v>1005</v>
      </c>
      <c r="Q296" s="81" t="n">
        <v>468</v>
      </c>
      <c r="R296" s="95" t="s">
        <v>1005</v>
      </c>
      <c r="S296" s="81" t="n">
        <v>318</v>
      </c>
      <c r="T296" s="95" t="s">
        <v>1005</v>
      </c>
      <c r="U296" s="81" t="n">
        <v>364</v>
      </c>
      <c r="V296" s="95" t="s">
        <v>1005</v>
      </c>
      <c r="W296" s="81" t="n">
        <v>253</v>
      </c>
      <c r="X296" s="95" t="s">
        <v>1005</v>
      </c>
      <c r="Y296" s="81" t="n">
        <v>245</v>
      </c>
      <c r="Z296" s="95" t="s">
        <v>1005</v>
      </c>
      <c r="AA296" s="81" t="n">
        <v>279</v>
      </c>
      <c r="AB296" s="95" t="s">
        <v>1005</v>
      </c>
      <c r="AC296" s="81" t="n">
        <v>280</v>
      </c>
      <c r="AD296" s="95" t="s">
        <v>1005</v>
      </c>
      <c r="AE296" s="81" t="n">
        <v>354</v>
      </c>
      <c r="AF296" s="95" t="s">
        <v>1005</v>
      </c>
      <c r="AG296" s="81" t="n">
        <v>414</v>
      </c>
      <c r="AH296" s="95" t="s">
        <v>1005</v>
      </c>
      <c r="AI296" s="81" t="n">
        <v>486</v>
      </c>
      <c r="AJ296" s="95" t="s">
        <v>1005</v>
      </c>
      <c r="AK296" s="81" t="n">
        <v>481</v>
      </c>
      <c r="AL296" s="95" t="s">
        <v>1005</v>
      </c>
      <c r="AM296" s="81" t="n">
        <f aca="false">O296+Q296+S296+U296+W296+Y296+AA296+AC296+AE296+AG296+AI296+AK296</f>
        <v>4465</v>
      </c>
    </row>
    <row collapsed="false" customFormat="false" customHeight="true" hidden="false" ht="16.2" outlineLevel="0" r="297">
      <c r="A297" s="80" t="n">
        <v>145</v>
      </c>
      <c r="B297" s="100" t="s">
        <v>251</v>
      </c>
      <c r="C297" s="82" t="s">
        <v>1033</v>
      </c>
      <c r="D297" s="92" t="s">
        <v>1056</v>
      </c>
      <c r="E297" s="83" t="s">
        <v>1035</v>
      </c>
      <c r="F297" s="49" t="s">
        <v>1036</v>
      </c>
      <c r="G297" s="92"/>
      <c r="H297" s="85"/>
      <c r="I297" s="85"/>
      <c r="J297" s="85"/>
      <c r="K297" s="93"/>
      <c r="L297" s="93"/>
      <c r="M297" s="81"/>
      <c r="N297" s="81"/>
      <c r="O297" s="90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81"/>
    </row>
    <row collapsed="false" customFormat="false" customHeight="true" hidden="false" ht="16.2" outlineLevel="0" r="298">
      <c r="A298" s="80"/>
      <c r="B298" s="101"/>
      <c r="C298" s="85"/>
      <c r="D298" s="92"/>
      <c r="E298" s="83" t="s">
        <v>1037</v>
      </c>
      <c r="F298" s="49" t="s">
        <v>1036</v>
      </c>
      <c r="G298" s="85" t="s">
        <v>1057</v>
      </c>
      <c r="H298" s="85" t="n">
        <v>20</v>
      </c>
      <c r="I298" s="85"/>
      <c r="J298" s="85"/>
      <c r="K298" s="93" t="s">
        <v>53</v>
      </c>
      <c r="L298" s="93" t="s">
        <v>53</v>
      </c>
      <c r="M298" s="81" t="n">
        <v>2987</v>
      </c>
      <c r="N298" s="81" t="n">
        <v>3311</v>
      </c>
      <c r="O298" s="90" t="n">
        <v>380</v>
      </c>
      <c r="P298" s="95" t="s">
        <v>1005</v>
      </c>
      <c r="Q298" s="81" t="n">
        <v>252</v>
      </c>
      <c r="R298" s="95" t="s">
        <v>1005</v>
      </c>
      <c r="S298" s="81" t="n">
        <v>267</v>
      </c>
      <c r="T298" s="95" t="s">
        <v>1005</v>
      </c>
      <c r="U298" s="81" t="n">
        <v>216</v>
      </c>
      <c r="V298" s="95" t="s">
        <v>1005</v>
      </c>
      <c r="W298" s="81" t="n">
        <v>226</v>
      </c>
      <c r="X298" s="95" t="s">
        <v>1005</v>
      </c>
      <c r="Y298" s="81" t="n">
        <v>190</v>
      </c>
      <c r="Z298" s="95" t="s">
        <v>1005</v>
      </c>
      <c r="AA298" s="81" t="n">
        <v>205</v>
      </c>
      <c r="AB298" s="95" t="s">
        <v>1005</v>
      </c>
      <c r="AC298" s="81" t="n">
        <v>159</v>
      </c>
      <c r="AD298" s="95" t="s">
        <v>1005</v>
      </c>
      <c r="AE298" s="81" t="n">
        <v>254</v>
      </c>
      <c r="AF298" s="95" t="s">
        <v>1005</v>
      </c>
      <c r="AG298" s="81" t="n">
        <v>260</v>
      </c>
      <c r="AH298" s="95" t="s">
        <v>1005</v>
      </c>
      <c r="AI298" s="81" t="n">
        <v>310</v>
      </c>
      <c r="AJ298" s="95" t="s">
        <v>1005</v>
      </c>
      <c r="AK298" s="81" t="n">
        <v>300</v>
      </c>
      <c r="AL298" s="95" t="s">
        <v>1005</v>
      </c>
      <c r="AM298" s="81" t="n">
        <f aca="false">O298+Q298+S298+U298+W298+Y298+AA298+AC298+AE298+AG298+AI298+AK298</f>
        <v>3019</v>
      </c>
    </row>
    <row collapsed="false" customFormat="false" customHeight="true" hidden="false" ht="16.2" outlineLevel="0" r="299">
      <c r="A299" s="80" t="n">
        <v>146</v>
      </c>
      <c r="B299" s="100" t="s">
        <v>252</v>
      </c>
      <c r="C299" s="82" t="s">
        <v>1033</v>
      </c>
      <c r="D299" s="92" t="s">
        <v>1056</v>
      </c>
      <c r="E299" s="83" t="s">
        <v>1035</v>
      </c>
      <c r="F299" s="49" t="s">
        <v>1036</v>
      </c>
      <c r="G299" s="92"/>
      <c r="H299" s="85"/>
      <c r="I299" s="85"/>
      <c r="J299" s="85"/>
      <c r="K299" s="93"/>
      <c r="L299" s="93"/>
      <c r="M299" s="81"/>
      <c r="N299" s="81"/>
      <c r="O299" s="90"/>
      <c r="P299" s="95"/>
      <c r="Q299" s="81"/>
      <c r="R299" s="95"/>
      <c r="S299" s="81"/>
      <c r="T299" s="95"/>
      <c r="U299" s="81"/>
      <c r="V299" s="95"/>
      <c r="W299" s="81"/>
      <c r="X299" s="95"/>
      <c r="Y299" s="81"/>
      <c r="Z299" s="95"/>
      <c r="AA299" s="81"/>
      <c r="AB299" s="95"/>
      <c r="AC299" s="81"/>
      <c r="AD299" s="95"/>
      <c r="AE299" s="81"/>
      <c r="AF299" s="95"/>
      <c r="AG299" s="81"/>
      <c r="AH299" s="95"/>
      <c r="AI299" s="81"/>
      <c r="AJ299" s="95"/>
      <c r="AK299" s="81"/>
      <c r="AL299" s="95"/>
      <c r="AM299" s="81"/>
    </row>
    <row collapsed="false" customFormat="false" customHeight="true" hidden="false" ht="16.2" outlineLevel="0" r="300">
      <c r="A300" s="80"/>
      <c r="B300" s="101"/>
      <c r="C300" s="85"/>
      <c r="D300" s="92"/>
      <c r="E300" s="83" t="s">
        <v>1037</v>
      </c>
      <c r="F300" s="49" t="s">
        <v>1036</v>
      </c>
      <c r="G300" s="85" t="s">
        <v>1057</v>
      </c>
      <c r="H300" s="85" t="n">
        <v>24</v>
      </c>
      <c r="I300" s="85"/>
      <c r="J300" s="85"/>
      <c r="K300" s="93" t="s">
        <v>53</v>
      </c>
      <c r="L300" s="93" t="s">
        <v>53</v>
      </c>
      <c r="M300" s="81" t="n">
        <v>6333</v>
      </c>
      <c r="N300" s="81" t="n">
        <v>7688</v>
      </c>
      <c r="O300" s="90" t="n">
        <v>823</v>
      </c>
      <c r="P300" s="95" t="s">
        <v>1005</v>
      </c>
      <c r="Q300" s="81" t="n">
        <v>776</v>
      </c>
      <c r="R300" s="95" t="s">
        <v>1005</v>
      </c>
      <c r="S300" s="81" t="n">
        <v>578</v>
      </c>
      <c r="T300" s="95" t="s">
        <v>1005</v>
      </c>
      <c r="U300" s="81" t="n">
        <v>653</v>
      </c>
      <c r="V300" s="95" t="s">
        <v>1005</v>
      </c>
      <c r="W300" s="81" t="n">
        <v>452</v>
      </c>
      <c r="X300" s="95" t="s">
        <v>1005</v>
      </c>
      <c r="Y300" s="81" t="n">
        <v>369</v>
      </c>
      <c r="Z300" s="95" t="s">
        <v>1005</v>
      </c>
      <c r="AA300" s="81" t="n">
        <v>294</v>
      </c>
      <c r="AB300" s="95" t="s">
        <v>1005</v>
      </c>
      <c r="AC300" s="81" t="n">
        <v>457</v>
      </c>
      <c r="AD300" s="95" t="s">
        <v>1005</v>
      </c>
      <c r="AE300" s="81" t="n">
        <v>533</v>
      </c>
      <c r="AF300" s="95" t="s">
        <v>1005</v>
      </c>
      <c r="AG300" s="81" t="n">
        <v>658</v>
      </c>
      <c r="AH300" s="95" t="s">
        <v>1005</v>
      </c>
      <c r="AI300" s="81" t="n">
        <v>953</v>
      </c>
      <c r="AJ300" s="95" t="s">
        <v>1005</v>
      </c>
      <c r="AK300" s="81" t="n">
        <v>943</v>
      </c>
      <c r="AL300" s="95" t="s">
        <v>1005</v>
      </c>
      <c r="AM300" s="81" t="n">
        <f aca="false">O300+Q300+S300+U300+W300+Y300+AA300+AC300+AE300+AG300+AI300+AK300</f>
        <v>7489</v>
      </c>
    </row>
    <row collapsed="false" customFormat="false" customHeight="true" hidden="false" ht="16.2" outlineLevel="0" r="301">
      <c r="A301" s="80" t="n">
        <v>147</v>
      </c>
      <c r="B301" s="100" t="s">
        <v>253</v>
      </c>
      <c r="C301" s="82" t="s">
        <v>1033</v>
      </c>
      <c r="D301" s="92" t="s">
        <v>1056</v>
      </c>
      <c r="E301" s="83" t="s">
        <v>1035</v>
      </c>
      <c r="F301" s="49" t="s">
        <v>1036</v>
      </c>
      <c r="G301" s="92"/>
      <c r="H301" s="85"/>
      <c r="I301" s="85"/>
      <c r="J301" s="85"/>
      <c r="K301" s="93"/>
      <c r="L301" s="93"/>
      <c r="M301" s="81"/>
      <c r="N301" s="81"/>
      <c r="O301" s="90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81"/>
    </row>
    <row collapsed="false" customFormat="false" customHeight="true" hidden="false" ht="16.2" outlineLevel="0" r="302">
      <c r="A302" s="80"/>
      <c r="B302" s="101"/>
      <c r="C302" s="85"/>
      <c r="D302" s="92"/>
      <c r="E302" s="83" t="s">
        <v>1037</v>
      </c>
      <c r="F302" s="49" t="s">
        <v>1036</v>
      </c>
      <c r="G302" s="85" t="s">
        <v>1057</v>
      </c>
      <c r="H302" s="85" t="n">
        <v>20</v>
      </c>
      <c r="I302" s="85"/>
      <c r="J302" s="85"/>
      <c r="K302" s="93" t="s">
        <v>53</v>
      </c>
      <c r="L302" s="93" t="s">
        <v>53</v>
      </c>
      <c r="M302" s="81" t="n">
        <v>5267</v>
      </c>
      <c r="N302" s="81" t="n">
        <v>5622</v>
      </c>
      <c r="O302" s="90" t="n">
        <v>639</v>
      </c>
      <c r="P302" s="95" t="s">
        <v>1005</v>
      </c>
      <c r="Q302" s="81" t="n">
        <v>615</v>
      </c>
      <c r="R302" s="95" t="s">
        <v>1005</v>
      </c>
      <c r="S302" s="81" t="n">
        <v>379</v>
      </c>
      <c r="T302" s="95" t="s">
        <v>1005</v>
      </c>
      <c r="U302" s="81" t="n">
        <v>456</v>
      </c>
      <c r="V302" s="95" t="s">
        <v>1005</v>
      </c>
      <c r="W302" s="81" t="n">
        <v>412</v>
      </c>
      <c r="X302" s="95" t="s">
        <v>1005</v>
      </c>
      <c r="Y302" s="81" t="n">
        <v>319</v>
      </c>
      <c r="Z302" s="95" t="s">
        <v>1005</v>
      </c>
      <c r="AA302" s="81" t="n">
        <v>296</v>
      </c>
      <c r="AB302" s="95" t="s">
        <v>1005</v>
      </c>
      <c r="AC302" s="81" t="n">
        <v>353</v>
      </c>
      <c r="AD302" s="95" t="s">
        <v>1005</v>
      </c>
      <c r="AE302" s="81" t="n">
        <v>336</v>
      </c>
      <c r="AF302" s="95" t="s">
        <v>1005</v>
      </c>
      <c r="AG302" s="81" t="n">
        <v>552</v>
      </c>
      <c r="AH302" s="95" t="s">
        <v>1005</v>
      </c>
      <c r="AI302" s="81" t="n">
        <v>686</v>
      </c>
      <c r="AJ302" s="95" t="s">
        <v>1005</v>
      </c>
      <c r="AK302" s="81" t="n">
        <v>677</v>
      </c>
      <c r="AL302" s="95" t="s">
        <v>1005</v>
      </c>
      <c r="AM302" s="81" t="n">
        <f aca="false">O302+Q302+S302+U302+W302+Y302+AA302+AC302+AE302+AG302+AI302+AK302</f>
        <v>5720</v>
      </c>
    </row>
    <row collapsed="false" customFormat="false" customHeight="true" hidden="false" ht="16.2" outlineLevel="0" r="303">
      <c r="A303" s="80" t="n">
        <v>148</v>
      </c>
      <c r="B303" s="100" t="s">
        <v>254</v>
      </c>
      <c r="C303" s="82" t="s">
        <v>1033</v>
      </c>
      <c r="D303" s="92" t="s">
        <v>1056</v>
      </c>
      <c r="E303" s="83" t="s">
        <v>1035</v>
      </c>
      <c r="F303" s="49" t="s">
        <v>1036</v>
      </c>
      <c r="G303" s="92"/>
      <c r="H303" s="85"/>
      <c r="I303" s="85"/>
      <c r="J303" s="85"/>
      <c r="K303" s="93"/>
      <c r="L303" s="93"/>
      <c r="M303" s="81"/>
      <c r="N303" s="81"/>
      <c r="O303" s="90"/>
      <c r="P303" s="95"/>
      <c r="Q303" s="81"/>
      <c r="R303" s="95"/>
      <c r="S303" s="81"/>
      <c r="T303" s="95"/>
      <c r="U303" s="81"/>
      <c r="V303" s="95"/>
      <c r="W303" s="81"/>
      <c r="X303" s="95"/>
      <c r="Y303" s="81"/>
      <c r="Z303" s="95"/>
      <c r="AA303" s="81"/>
      <c r="AB303" s="95"/>
      <c r="AC303" s="81"/>
      <c r="AD303" s="95"/>
      <c r="AE303" s="81"/>
      <c r="AF303" s="95"/>
      <c r="AG303" s="81"/>
      <c r="AH303" s="95"/>
      <c r="AI303" s="81"/>
      <c r="AJ303" s="95"/>
      <c r="AK303" s="81"/>
      <c r="AL303" s="95"/>
      <c r="AM303" s="81"/>
    </row>
    <row collapsed="false" customFormat="false" customHeight="true" hidden="false" ht="16.2" outlineLevel="0" r="304">
      <c r="A304" s="80"/>
      <c r="B304" s="101"/>
      <c r="C304" s="85"/>
      <c r="D304" s="92"/>
      <c r="E304" s="83" t="s">
        <v>1037</v>
      </c>
      <c r="F304" s="49" t="s">
        <v>1036</v>
      </c>
      <c r="G304" s="85" t="s">
        <v>1057</v>
      </c>
      <c r="H304" s="85" t="n">
        <v>20</v>
      </c>
      <c r="I304" s="85"/>
      <c r="J304" s="85"/>
      <c r="K304" s="93" t="s">
        <v>53</v>
      </c>
      <c r="L304" s="93" t="s">
        <v>53</v>
      </c>
      <c r="M304" s="81" t="n">
        <v>4611</v>
      </c>
      <c r="N304" s="81" t="n">
        <v>4870</v>
      </c>
      <c r="O304" s="90" t="n">
        <v>638</v>
      </c>
      <c r="P304" s="95" t="s">
        <v>1005</v>
      </c>
      <c r="Q304" s="81" t="n">
        <v>629</v>
      </c>
      <c r="R304" s="95" t="s">
        <v>1005</v>
      </c>
      <c r="S304" s="81" t="n">
        <v>354</v>
      </c>
      <c r="T304" s="95" t="s">
        <v>1005</v>
      </c>
      <c r="U304" s="81" t="n">
        <v>390</v>
      </c>
      <c r="V304" s="95" t="s">
        <v>1005</v>
      </c>
      <c r="W304" s="81" t="n">
        <v>341</v>
      </c>
      <c r="X304" s="95" t="s">
        <v>1005</v>
      </c>
      <c r="Y304" s="81" t="n">
        <v>243</v>
      </c>
      <c r="Z304" s="95" t="s">
        <v>1005</v>
      </c>
      <c r="AA304" s="81" t="n">
        <v>177</v>
      </c>
      <c r="AB304" s="95" t="s">
        <v>1005</v>
      </c>
      <c r="AC304" s="81" t="n">
        <v>259</v>
      </c>
      <c r="AD304" s="95" t="s">
        <v>1005</v>
      </c>
      <c r="AE304" s="81" t="n">
        <v>383</v>
      </c>
      <c r="AF304" s="95" t="s">
        <v>1005</v>
      </c>
      <c r="AG304" s="81" t="n">
        <v>409</v>
      </c>
      <c r="AH304" s="95" t="s">
        <v>1005</v>
      </c>
      <c r="AI304" s="81" t="n">
        <v>542</v>
      </c>
      <c r="AJ304" s="95" t="s">
        <v>1005</v>
      </c>
      <c r="AK304" s="81" t="n">
        <v>532</v>
      </c>
      <c r="AL304" s="95" t="s">
        <v>1005</v>
      </c>
      <c r="AM304" s="81" t="n">
        <f aca="false">O304+Q304+S304+U304+W304+Y304+AA304+AC304+AE304+AG304+AI304+AK304</f>
        <v>4897</v>
      </c>
    </row>
    <row collapsed="false" customFormat="false" customHeight="true" hidden="false" ht="16.2" outlineLevel="0" r="305">
      <c r="A305" s="80" t="n">
        <v>149</v>
      </c>
      <c r="B305" s="81"/>
      <c r="C305" s="82" t="s">
        <v>1033</v>
      </c>
      <c r="D305" s="85"/>
      <c r="E305" s="83" t="s">
        <v>1035</v>
      </c>
      <c r="F305" s="49" t="s">
        <v>1036</v>
      </c>
      <c r="G305" s="85"/>
      <c r="H305" s="85"/>
      <c r="I305" s="85"/>
      <c r="J305" s="85"/>
      <c r="K305" s="85"/>
      <c r="L305" s="85"/>
      <c r="M305" s="81"/>
      <c r="N305" s="81"/>
      <c r="O305" s="96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</row>
    <row collapsed="false" customFormat="false" customHeight="true" hidden="false" ht="16.2" outlineLevel="0" r="306">
      <c r="A306" s="80"/>
      <c r="B306" s="81" t="s">
        <v>256</v>
      </c>
      <c r="C306" s="85"/>
      <c r="D306" s="85" t="s">
        <v>1054</v>
      </c>
      <c r="E306" s="83" t="s">
        <v>1037</v>
      </c>
      <c r="F306" s="49" t="s">
        <v>1036</v>
      </c>
      <c r="G306" s="85" t="s">
        <v>1039</v>
      </c>
      <c r="H306" s="85" t="n">
        <v>8</v>
      </c>
      <c r="I306" s="85" t="s">
        <v>1039</v>
      </c>
      <c r="J306" s="85" t="n">
        <v>3</v>
      </c>
      <c r="K306" s="85" t="s">
        <v>1041</v>
      </c>
      <c r="L306" s="85" t="s">
        <v>1041</v>
      </c>
      <c r="M306" s="81" t="n">
        <v>3108</v>
      </c>
      <c r="N306" s="81"/>
      <c r="O306" s="96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</row>
    <row collapsed="false" customFormat="false" customHeight="true" hidden="false" ht="16.2" outlineLevel="0" r="307">
      <c r="A307" s="80" t="n">
        <v>150</v>
      </c>
      <c r="B307" s="81"/>
      <c r="C307" s="82" t="s">
        <v>1033</v>
      </c>
      <c r="D307" s="85"/>
      <c r="E307" s="83" t="s">
        <v>1035</v>
      </c>
      <c r="F307" s="49" t="s">
        <v>1036</v>
      </c>
      <c r="G307" s="85"/>
      <c r="H307" s="85"/>
      <c r="I307" s="85"/>
      <c r="J307" s="85"/>
      <c r="K307" s="85"/>
      <c r="L307" s="85"/>
      <c r="M307" s="81"/>
      <c r="N307" s="81"/>
      <c r="O307" s="96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</row>
    <row collapsed="false" customFormat="false" customHeight="true" hidden="false" ht="16.2" outlineLevel="0" r="308">
      <c r="A308" s="80"/>
      <c r="B308" s="81" t="s">
        <v>257</v>
      </c>
      <c r="C308" s="85"/>
      <c r="D308" s="85" t="s">
        <v>1054</v>
      </c>
      <c r="E308" s="83" t="s">
        <v>1037</v>
      </c>
      <c r="F308" s="49" t="s">
        <v>1036</v>
      </c>
      <c r="G308" s="85" t="s">
        <v>1042</v>
      </c>
      <c r="H308" s="85" t="n">
        <v>16</v>
      </c>
      <c r="I308" s="85" t="s">
        <v>1039</v>
      </c>
      <c r="J308" s="85" t="n">
        <v>4</v>
      </c>
      <c r="K308" s="85" t="s">
        <v>1041</v>
      </c>
      <c r="L308" s="85" t="s">
        <v>1041</v>
      </c>
      <c r="M308" s="81" t="n">
        <v>5028</v>
      </c>
      <c r="N308" s="81"/>
      <c r="O308" s="96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</row>
    <row collapsed="false" customFormat="false" customHeight="true" hidden="false" ht="16.2" outlineLevel="0" r="309">
      <c r="A309" s="80" t="n">
        <v>151</v>
      </c>
      <c r="B309" s="81"/>
      <c r="C309" s="82" t="s">
        <v>1033</v>
      </c>
      <c r="D309" s="85"/>
      <c r="E309" s="83" t="s">
        <v>1035</v>
      </c>
      <c r="F309" s="49" t="s">
        <v>1036</v>
      </c>
      <c r="G309" s="85"/>
      <c r="H309" s="85"/>
      <c r="I309" s="85"/>
      <c r="J309" s="85"/>
      <c r="K309" s="85"/>
      <c r="L309" s="85"/>
      <c r="M309" s="81"/>
      <c r="N309" s="81"/>
      <c r="O309" s="96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</row>
    <row collapsed="false" customFormat="false" customHeight="true" hidden="false" ht="16.2" outlineLevel="0" r="310">
      <c r="A310" s="80"/>
      <c r="B310" s="81" t="s">
        <v>258</v>
      </c>
      <c r="C310" s="85"/>
      <c r="D310" s="85" t="s">
        <v>1054</v>
      </c>
      <c r="E310" s="83" t="s">
        <v>1037</v>
      </c>
      <c r="F310" s="49" t="s">
        <v>1036</v>
      </c>
      <c r="G310" s="85" t="s">
        <v>1039</v>
      </c>
      <c r="H310" s="85" t="n">
        <v>8</v>
      </c>
      <c r="I310" s="85" t="s">
        <v>1039</v>
      </c>
      <c r="J310" s="85" t="n">
        <v>2</v>
      </c>
      <c r="K310" s="85" t="s">
        <v>1041</v>
      </c>
      <c r="L310" s="85" t="s">
        <v>1041</v>
      </c>
      <c r="M310" s="81" t="n">
        <v>1296</v>
      </c>
      <c r="N310" s="81"/>
      <c r="O310" s="96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</row>
    <row collapsed="false" customFormat="false" customHeight="true" hidden="false" ht="16.2" outlineLevel="0" r="311">
      <c r="A311" s="80" t="n">
        <v>152</v>
      </c>
      <c r="B311" s="81"/>
      <c r="C311" s="82" t="s">
        <v>1033</v>
      </c>
      <c r="D311" s="85"/>
      <c r="E311" s="83" t="s">
        <v>1035</v>
      </c>
      <c r="F311" s="49" t="s">
        <v>1036</v>
      </c>
      <c r="G311" s="85"/>
      <c r="H311" s="85"/>
      <c r="I311" s="85"/>
      <c r="J311" s="85"/>
      <c r="K311" s="85"/>
      <c r="L311" s="85"/>
      <c r="M311" s="81"/>
      <c r="N311" s="81"/>
      <c r="O311" s="96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</row>
    <row collapsed="false" customFormat="false" customHeight="true" hidden="false" ht="16.2" outlineLevel="0" r="312">
      <c r="A312" s="80"/>
      <c r="B312" s="81" t="s">
        <v>259</v>
      </c>
      <c r="C312" s="85"/>
      <c r="D312" s="85" t="s">
        <v>1054</v>
      </c>
      <c r="E312" s="83" t="s">
        <v>1037</v>
      </c>
      <c r="F312" s="49" t="s">
        <v>1036</v>
      </c>
      <c r="G312" s="85" t="s">
        <v>1042</v>
      </c>
      <c r="H312" s="85" t="n">
        <v>15</v>
      </c>
      <c r="I312" s="85" t="s">
        <v>1039</v>
      </c>
      <c r="J312" s="85" t="n">
        <v>3</v>
      </c>
      <c r="K312" s="85" t="s">
        <v>1041</v>
      </c>
      <c r="L312" s="85" t="s">
        <v>1041</v>
      </c>
      <c r="M312" s="81" t="n">
        <v>2106</v>
      </c>
      <c r="N312" s="81"/>
      <c r="O312" s="96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81"/>
    </row>
    <row collapsed="false" customFormat="false" customHeight="true" hidden="false" ht="16.2" outlineLevel="0" r="313">
      <c r="A313" s="80" t="n">
        <v>153</v>
      </c>
      <c r="B313" s="81"/>
      <c r="C313" s="82" t="s">
        <v>1033</v>
      </c>
      <c r="D313" s="85"/>
      <c r="E313" s="83" t="s">
        <v>1035</v>
      </c>
      <c r="F313" s="49" t="s">
        <v>1036</v>
      </c>
      <c r="G313" s="85"/>
      <c r="H313" s="85"/>
      <c r="I313" s="85"/>
      <c r="J313" s="85"/>
      <c r="K313" s="85"/>
      <c r="L313" s="85"/>
      <c r="M313" s="81"/>
      <c r="N313" s="81"/>
      <c r="O313" s="96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</row>
    <row collapsed="false" customFormat="false" customHeight="true" hidden="false" ht="16.2" outlineLevel="0" r="314">
      <c r="A314" s="80"/>
      <c r="B314" s="81" t="s">
        <v>261</v>
      </c>
      <c r="C314" s="85"/>
      <c r="D314" s="85" t="s">
        <v>1054</v>
      </c>
      <c r="E314" s="83" t="s">
        <v>1037</v>
      </c>
      <c r="F314" s="49" t="s">
        <v>1036</v>
      </c>
      <c r="G314" s="85" t="s">
        <v>1042</v>
      </c>
      <c r="H314" s="85" t="n">
        <v>12</v>
      </c>
      <c r="I314" s="85" t="s">
        <v>1039</v>
      </c>
      <c r="J314" s="85" t="n">
        <v>2</v>
      </c>
      <c r="K314" s="85" t="s">
        <v>1041</v>
      </c>
      <c r="L314" s="85" t="s">
        <v>1041</v>
      </c>
      <c r="M314" s="81" t="n">
        <v>3792</v>
      </c>
      <c r="N314" s="81"/>
      <c r="O314" s="96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</row>
    <row collapsed="false" customFormat="false" customHeight="true" hidden="false" ht="16.2" outlineLevel="0" r="315">
      <c r="A315" s="80" t="n">
        <v>154</v>
      </c>
      <c r="B315" s="81" t="s">
        <v>263</v>
      </c>
      <c r="C315" s="82" t="s">
        <v>1033</v>
      </c>
      <c r="D315" s="82" t="s">
        <v>1034</v>
      </c>
      <c r="E315" s="83" t="s">
        <v>1035</v>
      </c>
      <c r="F315" s="84" t="s">
        <v>1036</v>
      </c>
      <c r="G315" s="85"/>
      <c r="H315" s="85"/>
      <c r="I315" s="85"/>
      <c r="J315" s="85"/>
      <c r="K315" s="86" t="s">
        <v>53</v>
      </c>
      <c r="L315" s="86" t="s">
        <v>53</v>
      </c>
      <c r="M315" s="90"/>
      <c r="N315" s="90"/>
      <c r="O315" s="90"/>
      <c r="P315" s="90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90"/>
      <c r="AF315" s="81"/>
      <c r="AG315" s="81"/>
      <c r="AH315" s="81"/>
      <c r="AI315" s="81"/>
      <c r="AJ315" s="81"/>
      <c r="AK315" s="81"/>
      <c r="AL315" s="81"/>
      <c r="AM315" s="81" t="n">
        <f aca="false">O315+Q315+S315+U315+W315+Y315+AA315+AC315+AE315+AG315+AI315+AK315</f>
        <v>0</v>
      </c>
    </row>
    <row collapsed="false" customFormat="false" customHeight="true" hidden="false" ht="16.2" outlineLevel="0" r="316">
      <c r="A316" s="80"/>
      <c r="B316" s="89"/>
      <c r="C316" s="85"/>
      <c r="D316" s="85"/>
      <c r="E316" s="83" t="s">
        <v>1037</v>
      </c>
      <c r="F316" s="84" t="s">
        <v>1036</v>
      </c>
      <c r="G316" s="85"/>
      <c r="H316" s="85"/>
      <c r="I316" s="85"/>
      <c r="J316" s="85"/>
      <c r="K316" s="86"/>
      <c r="L316" s="86"/>
      <c r="M316" s="90" t="n">
        <f aca="false">403+115</f>
        <v>518</v>
      </c>
      <c r="N316" s="91" t="n">
        <f aca="false">375+352</f>
        <v>727</v>
      </c>
      <c r="O316" s="90" t="n">
        <v>77</v>
      </c>
      <c r="P316" s="90" t="s">
        <v>1005</v>
      </c>
      <c r="Q316" s="81" t="n">
        <v>63</v>
      </c>
      <c r="R316" s="90" t="s">
        <v>1005</v>
      </c>
      <c r="S316" s="81" t="n">
        <v>49</v>
      </c>
      <c r="T316" s="81" t="s">
        <v>1005</v>
      </c>
      <c r="U316" s="81" t="n">
        <v>47</v>
      </c>
      <c r="V316" s="81" t="s">
        <v>1005</v>
      </c>
      <c r="W316" s="81" t="n">
        <v>51</v>
      </c>
      <c r="X316" s="81" t="s">
        <v>1005</v>
      </c>
      <c r="Y316" s="81" t="n">
        <v>52</v>
      </c>
      <c r="Z316" s="81" t="s">
        <v>1005</v>
      </c>
      <c r="AA316" s="81" t="n">
        <v>46</v>
      </c>
      <c r="AB316" s="81" t="s">
        <v>1005</v>
      </c>
      <c r="AC316" s="81" t="n">
        <v>41</v>
      </c>
      <c r="AD316" s="81" t="s">
        <v>1005</v>
      </c>
      <c r="AE316" s="90" t="n">
        <f aca="false">23+28</f>
        <v>51</v>
      </c>
      <c r="AF316" s="81" t="s">
        <v>1005</v>
      </c>
      <c r="AG316" s="81" t="n">
        <f aca="false">35+30</f>
        <v>65</v>
      </c>
      <c r="AH316" s="81" t="s">
        <v>1005</v>
      </c>
      <c r="AI316" s="81" t="n">
        <f aca="false">50+38</f>
        <v>88</v>
      </c>
      <c r="AJ316" s="81" t="s">
        <v>1005</v>
      </c>
      <c r="AK316" s="81" t="n">
        <f aca="false">40+28</f>
        <v>68</v>
      </c>
      <c r="AL316" s="81" t="s">
        <v>1005</v>
      </c>
      <c r="AM316" s="81" t="n">
        <f aca="false">O316+Q316+S316+U316+W316+Y316+AA316+AC316+AE316+AG316+AI316+AK316</f>
        <v>698</v>
      </c>
    </row>
    <row collapsed="false" customFormat="false" customHeight="true" hidden="false" ht="16.2" outlineLevel="0" r="317">
      <c r="A317" s="80" t="n">
        <v>155</v>
      </c>
      <c r="B317" s="81" t="s">
        <v>264</v>
      </c>
      <c r="C317" s="82" t="s">
        <v>1033</v>
      </c>
      <c r="D317" s="82" t="s">
        <v>1034</v>
      </c>
      <c r="E317" s="83" t="s">
        <v>1035</v>
      </c>
      <c r="F317" s="84" t="s">
        <v>1036</v>
      </c>
      <c r="G317" s="85"/>
      <c r="H317" s="85"/>
      <c r="I317" s="85"/>
      <c r="J317" s="85"/>
      <c r="K317" s="86" t="s">
        <v>53</v>
      </c>
      <c r="L317" s="86" t="s">
        <v>53</v>
      </c>
      <c r="M317" s="90"/>
      <c r="N317" s="90"/>
      <c r="O317" s="90"/>
      <c r="P317" s="90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90"/>
      <c r="AF317" s="81"/>
      <c r="AG317" s="81"/>
      <c r="AH317" s="81"/>
      <c r="AI317" s="81"/>
      <c r="AJ317" s="81"/>
      <c r="AK317" s="81"/>
      <c r="AL317" s="81"/>
      <c r="AM317" s="81" t="n">
        <f aca="false">O317+Q317+S317+U317+W317+Y317+AA317+AC317+AE317+AG317+AI317+AK317</f>
        <v>0</v>
      </c>
    </row>
    <row collapsed="false" customFormat="false" customHeight="true" hidden="false" ht="16.2" outlineLevel="0" r="318">
      <c r="A318" s="80"/>
      <c r="B318" s="89"/>
      <c r="C318" s="85"/>
      <c r="D318" s="85"/>
      <c r="E318" s="83" t="s">
        <v>1037</v>
      </c>
      <c r="F318" s="84" t="s">
        <v>1036</v>
      </c>
      <c r="G318" s="85"/>
      <c r="H318" s="85"/>
      <c r="I318" s="85"/>
      <c r="J318" s="85"/>
      <c r="K318" s="86"/>
      <c r="L318" s="86"/>
      <c r="M318" s="90" t="n">
        <f aca="false">1065+574</f>
        <v>1639</v>
      </c>
      <c r="N318" s="91" t="n">
        <f aca="false">929+529</f>
        <v>1458</v>
      </c>
      <c r="O318" s="90" t="n">
        <v>94</v>
      </c>
      <c r="P318" s="90" t="s">
        <v>1005</v>
      </c>
      <c r="Q318" s="81" t="n">
        <v>237</v>
      </c>
      <c r="R318" s="90" t="s">
        <v>1005</v>
      </c>
      <c r="S318" s="81" t="n">
        <v>105</v>
      </c>
      <c r="T318" s="81" t="s">
        <v>1005</v>
      </c>
      <c r="U318" s="81" t="n">
        <v>96</v>
      </c>
      <c r="V318" s="81" t="s">
        <v>1005</v>
      </c>
      <c r="W318" s="81" t="n">
        <v>105</v>
      </c>
      <c r="X318" s="81" t="s">
        <v>1005</v>
      </c>
      <c r="Y318" s="81" t="n">
        <v>91</v>
      </c>
      <c r="Z318" s="81" t="s">
        <v>1005</v>
      </c>
      <c r="AA318" s="81" t="n">
        <v>111</v>
      </c>
      <c r="AB318" s="81" t="s">
        <v>1005</v>
      </c>
      <c r="AC318" s="81" t="n">
        <v>115</v>
      </c>
      <c r="AD318" s="81" t="s">
        <v>1005</v>
      </c>
      <c r="AE318" s="90" t="n">
        <f aca="false">93+48</f>
        <v>141</v>
      </c>
      <c r="AF318" s="81" t="s">
        <v>1005</v>
      </c>
      <c r="AG318" s="81" t="n">
        <f aca="false">94+51</f>
        <v>145</v>
      </c>
      <c r="AH318" s="81" t="s">
        <v>1005</v>
      </c>
      <c r="AI318" s="81" t="n">
        <f aca="false">117+63</f>
        <v>180</v>
      </c>
      <c r="AJ318" s="81" t="s">
        <v>1005</v>
      </c>
      <c r="AK318" s="81" t="n">
        <f aca="false">109+59</f>
        <v>168</v>
      </c>
      <c r="AL318" s="81" t="s">
        <v>1005</v>
      </c>
      <c r="AM318" s="81" t="n">
        <f aca="false">O318+Q318+S318+U318+W318+Y318+AA318+AC318+AE318+AG318+AI318+AK318</f>
        <v>1588</v>
      </c>
    </row>
    <row collapsed="false" customFormat="false" customHeight="true" hidden="false" ht="16.2" outlineLevel="0" r="319">
      <c r="A319" s="80" t="n">
        <v>156</v>
      </c>
      <c r="B319" s="81" t="s">
        <v>265</v>
      </c>
      <c r="C319" s="82" t="s">
        <v>1033</v>
      </c>
      <c r="D319" s="82" t="s">
        <v>1034</v>
      </c>
      <c r="E319" s="83" t="s">
        <v>1035</v>
      </c>
      <c r="F319" s="84" t="s">
        <v>1036</v>
      </c>
      <c r="G319" s="85"/>
      <c r="H319" s="85"/>
      <c r="I319" s="85"/>
      <c r="J319" s="85"/>
      <c r="K319" s="86" t="s">
        <v>53</v>
      </c>
      <c r="L319" s="86" t="s">
        <v>53</v>
      </c>
      <c r="M319" s="90"/>
      <c r="N319" s="90"/>
      <c r="O319" s="90"/>
      <c r="P319" s="90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90"/>
      <c r="AF319" s="81"/>
      <c r="AG319" s="81"/>
      <c r="AH319" s="81"/>
      <c r="AI319" s="81"/>
      <c r="AJ319" s="81"/>
      <c r="AK319" s="81"/>
      <c r="AL319" s="81"/>
      <c r="AM319" s="81" t="n">
        <f aca="false">O319+Q319+S319+U319+W319+Y319+AA319+AC319+AE319+AG319+AI319+AK319</f>
        <v>0</v>
      </c>
    </row>
    <row collapsed="false" customFormat="false" customHeight="true" hidden="false" ht="16.2" outlineLevel="0" r="320">
      <c r="A320" s="80"/>
      <c r="B320" s="89"/>
      <c r="C320" s="85"/>
      <c r="D320" s="85"/>
      <c r="E320" s="83" t="s">
        <v>1037</v>
      </c>
      <c r="F320" s="84" t="s">
        <v>1036</v>
      </c>
      <c r="G320" s="85"/>
      <c r="H320" s="85"/>
      <c r="I320" s="85"/>
      <c r="J320" s="85"/>
      <c r="K320" s="86"/>
      <c r="L320" s="86"/>
      <c r="M320" s="90" t="n">
        <f aca="false">1054+453</f>
        <v>1507</v>
      </c>
      <c r="N320" s="90" t="n">
        <f aca="false">1024+530</f>
        <v>1554</v>
      </c>
      <c r="O320" s="90" t="n">
        <v>174</v>
      </c>
      <c r="P320" s="90" t="s">
        <v>1005</v>
      </c>
      <c r="Q320" s="81" t="n">
        <v>124</v>
      </c>
      <c r="R320" s="90" t="s">
        <v>1005</v>
      </c>
      <c r="S320" s="81" t="n">
        <v>109</v>
      </c>
      <c r="T320" s="81" t="s">
        <v>1005</v>
      </c>
      <c r="U320" s="81" t="n">
        <v>103</v>
      </c>
      <c r="V320" s="81" t="s">
        <v>1005</v>
      </c>
      <c r="W320" s="81" t="n">
        <v>144</v>
      </c>
      <c r="X320" s="81" t="s">
        <v>1005</v>
      </c>
      <c r="Y320" s="81" t="n">
        <v>136</v>
      </c>
      <c r="Z320" s="81" t="s">
        <v>1005</v>
      </c>
      <c r="AA320" s="81" t="n">
        <v>99</v>
      </c>
      <c r="AB320" s="81" t="s">
        <v>1005</v>
      </c>
      <c r="AC320" s="81" t="n">
        <v>82</v>
      </c>
      <c r="AD320" s="81" t="s">
        <v>1005</v>
      </c>
      <c r="AE320" s="90" t="n">
        <f aca="false">84+73</f>
        <v>157</v>
      </c>
      <c r="AF320" s="81" t="s">
        <v>1005</v>
      </c>
      <c r="AG320" s="81" t="n">
        <f aca="false">77+44</f>
        <v>121</v>
      </c>
      <c r="AH320" s="81" t="s">
        <v>1005</v>
      </c>
      <c r="AI320" s="81" t="n">
        <f aca="false">104+54</f>
        <v>158</v>
      </c>
      <c r="AJ320" s="81" t="s">
        <v>1005</v>
      </c>
      <c r="AK320" s="81" t="n">
        <f aca="false">93+49</f>
        <v>142</v>
      </c>
      <c r="AL320" s="81" t="s">
        <v>1005</v>
      </c>
      <c r="AM320" s="81" t="n">
        <f aca="false">O320+Q320+S320+U320+W320+Y320+AA320+AC320+AE320+AG320+AI320+AK320</f>
        <v>1549</v>
      </c>
    </row>
    <row collapsed="false" customFormat="false" customHeight="true" hidden="false" ht="16.2" outlineLevel="0" r="321">
      <c r="A321" s="80" t="n">
        <v>158</v>
      </c>
      <c r="B321" s="81" t="s">
        <v>268</v>
      </c>
      <c r="C321" s="82" t="s">
        <v>1033</v>
      </c>
      <c r="D321" s="82" t="s">
        <v>1034</v>
      </c>
      <c r="E321" s="83" t="s">
        <v>1035</v>
      </c>
      <c r="F321" s="84" t="s">
        <v>1036</v>
      </c>
      <c r="G321" s="85"/>
      <c r="H321" s="85"/>
      <c r="I321" s="85"/>
      <c r="J321" s="85"/>
      <c r="K321" s="86" t="s">
        <v>53</v>
      </c>
      <c r="L321" s="86" t="s">
        <v>53</v>
      </c>
      <c r="M321" s="90"/>
      <c r="N321" s="90"/>
      <c r="O321" s="90"/>
      <c r="P321" s="90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90"/>
      <c r="AF321" s="81"/>
      <c r="AG321" s="81"/>
      <c r="AH321" s="81"/>
      <c r="AI321" s="81"/>
      <c r="AJ321" s="81"/>
      <c r="AK321" s="81"/>
      <c r="AL321" s="81"/>
      <c r="AM321" s="81" t="n">
        <f aca="false">O321+Q321+S321+U321+W321+Y321+AA321+AC321+AE321+AG321+AI321+AK321</f>
        <v>0</v>
      </c>
    </row>
    <row collapsed="false" customFormat="false" customHeight="true" hidden="false" ht="16.2" outlineLevel="0" r="322">
      <c r="A322" s="80"/>
      <c r="B322" s="89"/>
      <c r="C322" s="85"/>
      <c r="D322" s="85"/>
      <c r="E322" s="83" t="s">
        <v>1037</v>
      </c>
      <c r="F322" s="84" t="s">
        <v>1036</v>
      </c>
      <c r="G322" s="85"/>
      <c r="H322" s="85"/>
      <c r="I322" s="85"/>
      <c r="J322" s="85"/>
      <c r="K322" s="86"/>
      <c r="L322" s="86"/>
      <c r="M322" s="90" t="n">
        <f aca="false">2287+1336</f>
        <v>3623</v>
      </c>
      <c r="N322" s="90" t="n">
        <f aca="false">1781+994</f>
        <v>2775</v>
      </c>
      <c r="O322" s="90" t="n">
        <v>257</v>
      </c>
      <c r="P322" s="90" t="s">
        <v>1005</v>
      </c>
      <c r="Q322" s="81" t="n">
        <v>259</v>
      </c>
      <c r="R322" s="90" t="s">
        <v>1005</v>
      </c>
      <c r="S322" s="81" t="n">
        <v>107</v>
      </c>
      <c r="T322" s="81" t="s">
        <v>1005</v>
      </c>
      <c r="U322" s="81" t="n">
        <v>89</v>
      </c>
      <c r="V322" s="81" t="s">
        <v>1005</v>
      </c>
      <c r="W322" s="81" t="n">
        <v>135</v>
      </c>
      <c r="X322" s="81" t="s">
        <v>1005</v>
      </c>
      <c r="Y322" s="81" t="n">
        <v>141</v>
      </c>
      <c r="Z322" s="81" t="s">
        <v>1005</v>
      </c>
      <c r="AA322" s="81" t="n">
        <v>138</v>
      </c>
      <c r="AB322" s="81" t="s">
        <v>1005</v>
      </c>
      <c r="AC322" s="81" t="n">
        <v>147</v>
      </c>
      <c r="AD322" s="81" t="s">
        <v>1005</v>
      </c>
      <c r="AE322" s="90" t="n">
        <f aca="false">103+59</f>
        <v>162</v>
      </c>
      <c r="AF322" s="81" t="s">
        <v>1005</v>
      </c>
      <c r="AG322" s="81" t="n">
        <f aca="false">84+47</f>
        <v>131</v>
      </c>
      <c r="AH322" s="81" t="s">
        <v>1005</v>
      </c>
      <c r="AI322" s="81" t="n">
        <f aca="false">84+45</f>
        <v>129</v>
      </c>
      <c r="AJ322" s="81" t="s">
        <v>1005</v>
      </c>
      <c r="AK322" s="81" t="n">
        <f aca="false">60+34</f>
        <v>94</v>
      </c>
      <c r="AL322" s="81" t="s">
        <v>1005</v>
      </c>
      <c r="AM322" s="81" t="n">
        <f aca="false">O322+Q322+S322+U322+W322+Y322+AA322+AC322+AE322+AG322+AI322+AK322</f>
        <v>1789</v>
      </c>
    </row>
    <row collapsed="false" customFormat="false" customHeight="true" hidden="false" ht="16.2" outlineLevel="0" r="323">
      <c r="A323" s="80" t="n">
        <v>159</v>
      </c>
      <c r="B323" s="81" t="s">
        <v>270</v>
      </c>
      <c r="C323" s="82" t="s">
        <v>1033</v>
      </c>
      <c r="D323" s="82" t="s">
        <v>1034</v>
      </c>
      <c r="E323" s="83" t="s">
        <v>1035</v>
      </c>
      <c r="F323" s="84" t="s">
        <v>1036</v>
      </c>
      <c r="G323" s="85"/>
      <c r="H323" s="85"/>
      <c r="I323" s="85"/>
      <c r="J323" s="85"/>
      <c r="K323" s="86" t="s">
        <v>53</v>
      </c>
      <c r="L323" s="86" t="s">
        <v>53</v>
      </c>
      <c r="M323" s="90"/>
      <c r="N323" s="90"/>
      <c r="O323" s="90"/>
      <c r="P323" s="90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90"/>
      <c r="AF323" s="81"/>
      <c r="AG323" s="81"/>
      <c r="AH323" s="81"/>
      <c r="AI323" s="81"/>
      <c r="AJ323" s="81"/>
      <c r="AK323" s="81"/>
      <c r="AL323" s="81"/>
      <c r="AM323" s="81" t="n">
        <f aca="false">O323+Q323+S323+U323+W323+Y323+AA323+AC323+AE323+AG323+AI323+AK323</f>
        <v>0</v>
      </c>
    </row>
    <row collapsed="false" customFormat="false" customHeight="true" hidden="false" ht="16.2" outlineLevel="0" r="324">
      <c r="A324" s="80"/>
      <c r="B324" s="89"/>
      <c r="C324" s="85"/>
      <c r="D324" s="85"/>
      <c r="E324" s="83" t="s">
        <v>1037</v>
      </c>
      <c r="F324" s="84" t="s">
        <v>1036</v>
      </c>
      <c r="G324" s="85"/>
      <c r="H324" s="85"/>
      <c r="I324" s="85"/>
      <c r="J324" s="85"/>
      <c r="K324" s="86"/>
      <c r="L324" s="86"/>
      <c r="M324" s="90" t="n">
        <f aca="false">5375+3168</f>
        <v>8543</v>
      </c>
      <c r="N324" s="91" t="n">
        <f aca="false">3822+2442</f>
        <v>6264</v>
      </c>
      <c r="O324" s="90" t="n">
        <v>621</v>
      </c>
      <c r="P324" s="90" t="s">
        <v>1005</v>
      </c>
      <c r="Q324" s="81" t="n">
        <v>651</v>
      </c>
      <c r="R324" s="90" t="s">
        <v>1005</v>
      </c>
      <c r="S324" s="81" t="n">
        <v>403</v>
      </c>
      <c r="T324" s="81" t="s">
        <v>1005</v>
      </c>
      <c r="U324" s="81" t="n">
        <v>407</v>
      </c>
      <c r="V324" s="81" t="s">
        <v>1005</v>
      </c>
      <c r="W324" s="81" t="n">
        <v>407</v>
      </c>
      <c r="X324" s="81" t="s">
        <v>1005</v>
      </c>
      <c r="Y324" s="81" t="n">
        <v>380</v>
      </c>
      <c r="Z324" s="81" t="s">
        <v>1005</v>
      </c>
      <c r="AA324" s="81" t="n">
        <v>296</v>
      </c>
      <c r="AB324" s="81" t="s">
        <v>1005</v>
      </c>
      <c r="AC324" s="81" t="n">
        <v>276</v>
      </c>
      <c r="AD324" s="81" t="s">
        <v>1005</v>
      </c>
      <c r="AE324" s="90" t="n">
        <f aca="false">237+152</f>
        <v>389</v>
      </c>
      <c r="AF324" s="81" t="s">
        <v>1005</v>
      </c>
      <c r="AG324" s="81" t="n">
        <f aca="false">234+157</f>
        <v>391</v>
      </c>
      <c r="AH324" s="81" t="s">
        <v>1005</v>
      </c>
      <c r="AI324" s="81" t="n">
        <f aca="false">293+170</f>
        <v>463</v>
      </c>
      <c r="AJ324" s="81" t="s">
        <v>1005</v>
      </c>
      <c r="AK324" s="81" t="n">
        <f aca="false">294+173</f>
        <v>467</v>
      </c>
      <c r="AL324" s="81" t="s">
        <v>1005</v>
      </c>
      <c r="AM324" s="81" t="n">
        <f aca="false">O324+Q324+S324+U324+W324+Y324+AA324+AC324+AE324+AG324+AI324+AK324</f>
        <v>5151</v>
      </c>
    </row>
    <row collapsed="false" customFormat="false" customHeight="true" hidden="false" ht="16.2" outlineLevel="0" r="325">
      <c r="A325" s="80" t="n">
        <v>160</v>
      </c>
      <c r="B325" s="81" t="s">
        <v>271</v>
      </c>
      <c r="C325" s="82" t="s">
        <v>1033</v>
      </c>
      <c r="D325" s="82" t="s">
        <v>1034</v>
      </c>
      <c r="E325" s="83" t="s">
        <v>1035</v>
      </c>
      <c r="F325" s="84" t="s">
        <v>1036</v>
      </c>
      <c r="G325" s="85"/>
      <c r="H325" s="85"/>
      <c r="I325" s="85"/>
      <c r="J325" s="85"/>
      <c r="K325" s="86" t="s">
        <v>53</v>
      </c>
      <c r="L325" s="86" t="s">
        <v>53</v>
      </c>
      <c r="M325" s="90"/>
      <c r="N325" s="90"/>
      <c r="O325" s="90"/>
      <c r="P325" s="90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90"/>
      <c r="AF325" s="81"/>
      <c r="AG325" s="81"/>
      <c r="AH325" s="81"/>
      <c r="AI325" s="81"/>
      <c r="AJ325" s="81"/>
      <c r="AK325" s="81"/>
      <c r="AL325" s="81"/>
      <c r="AM325" s="81" t="n">
        <f aca="false">O325+Q325+S325+U325+W325+Y325+AA325+AC325+AE325+AG325+AI325+AK325</f>
        <v>0</v>
      </c>
    </row>
    <row collapsed="false" customFormat="false" customHeight="true" hidden="false" ht="16.2" outlineLevel="0" r="326">
      <c r="A326" s="80"/>
      <c r="B326" s="89"/>
      <c r="C326" s="85"/>
      <c r="D326" s="85"/>
      <c r="E326" s="83" t="s">
        <v>1037</v>
      </c>
      <c r="F326" s="84" t="s">
        <v>1036</v>
      </c>
      <c r="G326" s="85"/>
      <c r="H326" s="85"/>
      <c r="I326" s="85"/>
      <c r="J326" s="85"/>
      <c r="K326" s="86"/>
      <c r="L326" s="86"/>
      <c r="M326" s="90" t="n">
        <f aca="false">1462+961</f>
        <v>2423</v>
      </c>
      <c r="N326" s="91" t="n">
        <f aca="false">715+535</f>
        <v>1250</v>
      </c>
      <c r="O326" s="90" t="n">
        <v>128</v>
      </c>
      <c r="P326" s="90" t="s">
        <v>1005</v>
      </c>
      <c r="Q326" s="81" t="n">
        <v>167</v>
      </c>
      <c r="R326" s="90" t="s">
        <v>1005</v>
      </c>
      <c r="S326" s="81" t="n">
        <v>133</v>
      </c>
      <c r="T326" s="81" t="s">
        <v>1005</v>
      </c>
      <c r="U326" s="81" t="n">
        <v>102</v>
      </c>
      <c r="V326" s="81" t="s">
        <v>1005</v>
      </c>
      <c r="W326" s="81" t="n">
        <v>71</v>
      </c>
      <c r="X326" s="81" t="s">
        <v>1005</v>
      </c>
      <c r="Y326" s="81" t="n">
        <v>39</v>
      </c>
      <c r="Z326" s="81" t="s">
        <v>1005</v>
      </c>
      <c r="AA326" s="81" t="n">
        <v>15</v>
      </c>
      <c r="AB326" s="81" t="s">
        <v>1005</v>
      </c>
      <c r="AC326" s="81" t="n">
        <v>142</v>
      </c>
      <c r="AD326" s="81" t="s">
        <v>1005</v>
      </c>
      <c r="AE326" s="90" t="n">
        <f aca="false">188+112</f>
        <v>300</v>
      </c>
      <c r="AF326" s="81" t="s">
        <v>1005</v>
      </c>
      <c r="AG326" s="81" t="n">
        <f aca="false">165+99</f>
        <v>264</v>
      </c>
      <c r="AH326" s="81" t="s">
        <v>1005</v>
      </c>
      <c r="AI326" s="81" t="n">
        <f aca="false">134+82</f>
        <v>216</v>
      </c>
      <c r="AJ326" s="81" t="s">
        <v>1005</v>
      </c>
      <c r="AK326" s="81" t="n">
        <f aca="false">95+58</f>
        <v>153</v>
      </c>
      <c r="AL326" s="81" t="s">
        <v>1005</v>
      </c>
      <c r="AM326" s="81" t="n">
        <f aca="false">O326+Q326+S326+U326+W326+Y326+AA326+AC326+AE326+AG326+AI326+AK326</f>
        <v>1730</v>
      </c>
    </row>
    <row collapsed="false" customFormat="false" customHeight="true" hidden="false" ht="16.2" outlineLevel="0" r="327">
      <c r="A327" s="80" t="n">
        <v>161</v>
      </c>
      <c r="B327" s="81" t="s">
        <v>272</v>
      </c>
      <c r="C327" s="82" t="s">
        <v>1033</v>
      </c>
      <c r="D327" s="82" t="s">
        <v>1034</v>
      </c>
      <c r="E327" s="83" t="s">
        <v>1035</v>
      </c>
      <c r="F327" s="84" t="s">
        <v>1036</v>
      </c>
      <c r="G327" s="85"/>
      <c r="H327" s="85"/>
      <c r="I327" s="85"/>
      <c r="J327" s="85"/>
      <c r="K327" s="86" t="s">
        <v>53</v>
      </c>
      <c r="L327" s="86" t="s">
        <v>53</v>
      </c>
      <c r="M327" s="90"/>
      <c r="N327" s="90"/>
      <c r="O327" s="90"/>
      <c r="P327" s="90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90"/>
      <c r="AF327" s="81"/>
      <c r="AG327" s="81"/>
      <c r="AH327" s="81"/>
      <c r="AI327" s="81"/>
      <c r="AJ327" s="81"/>
      <c r="AK327" s="81"/>
      <c r="AL327" s="81"/>
      <c r="AM327" s="81" t="n">
        <f aca="false">O327+Q327+S327+U327+W327+Y327+AA327+AC327+AE327+AG327+AI327+AK327</f>
        <v>0</v>
      </c>
    </row>
    <row collapsed="false" customFormat="false" customHeight="true" hidden="false" ht="16.2" outlineLevel="0" r="328">
      <c r="A328" s="80"/>
      <c r="B328" s="89"/>
      <c r="C328" s="85"/>
      <c r="D328" s="85"/>
      <c r="E328" s="83" t="s">
        <v>1037</v>
      </c>
      <c r="F328" s="84" t="s">
        <v>1036</v>
      </c>
      <c r="G328" s="85"/>
      <c r="H328" s="85"/>
      <c r="I328" s="85"/>
      <c r="J328" s="85"/>
      <c r="K328" s="86"/>
      <c r="L328" s="86"/>
      <c r="M328" s="90" t="n">
        <f aca="false">1049+712</f>
        <v>1761</v>
      </c>
      <c r="N328" s="91" t="n">
        <f aca="false">1538+927</f>
        <v>2465</v>
      </c>
      <c r="O328" s="90" t="n">
        <v>270</v>
      </c>
      <c r="P328" s="90" t="s">
        <v>1005</v>
      </c>
      <c r="Q328" s="81" t="n">
        <v>254</v>
      </c>
      <c r="R328" s="90" t="s">
        <v>1005</v>
      </c>
      <c r="S328" s="81" t="n">
        <v>156</v>
      </c>
      <c r="T328" s="81" t="s">
        <v>1005</v>
      </c>
      <c r="U328" s="81" t="n">
        <v>164</v>
      </c>
      <c r="V328" s="81" t="s">
        <v>1005</v>
      </c>
      <c r="W328" s="81" t="n">
        <v>166</v>
      </c>
      <c r="X328" s="81" t="s">
        <v>1005</v>
      </c>
      <c r="Y328" s="81" t="n">
        <v>116</v>
      </c>
      <c r="Z328" s="81" t="s">
        <v>1005</v>
      </c>
      <c r="AA328" s="81" t="n">
        <v>76</v>
      </c>
      <c r="AB328" s="81" t="s">
        <v>1005</v>
      </c>
      <c r="AC328" s="81" t="n">
        <v>125</v>
      </c>
      <c r="AD328" s="81" t="s">
        <v>1005</v>
      </c>
      <c r="AE328" s="90" t="n">
        <f aca="false">81+86</f>
        <v>167</v>
      </c>
      <c r="AF328" s="81" t="s">
        <v>1005</v>
      </c>
      <c r="AG328" s="81" t="n">
        <f aca="false">88+69</f>
        <v>157</v>
      </c>
      <c r="AH328" s="81" t="s">
        <v>1005</v>
      </c>
      <c r="AI328" s="81" t="n">
        <f aca="false">128+86</f>
        <v>214</v>
      </c>
      <c r="AJ328" s="81" t="s">
        <v>1005</v>
      </c>
      <c r="AK328" s="81" t="n">
        <f aca="false">114+69</f>
        <v>183</v>
      </c>
      <c r="AL328" s="81" t="s">
        <v>1005</v>
      </c>
      <c r="AM328" s="81" t="n">
        <f aca="false">O328+Q328+S328+U328+W328+Y328+AA328+AC328+AE328+AG328+AI328+AK328</f>
        <v>2048</v>
      </c>
    </row>
    <row collapsed="false" customFormat="false" customHeight="true" hidden="false" ht="16.2" outlineLevel="0" r="329">
      <c r="A329" s="80" t="n">
        <v>163</v>
      </c>
      <c r="B329" s="81" t="s">
        <v>275</v>
      </c>
      <c r="C329" s="82" t="s">
        <v>1033</v>
      </c>
      <c r="D329" s="82" t="s">
        <v>1034</v>
      </c>
      <c r="E329" s="83" t="s">
        <v>1035</v>
      </c>
      <c r="F329" s="84" t="s">
        <v>1036</v>
      </c>
      <c r="G329" s="85"/>
      <c r="H329" s="85"/>
      <c r="I329" s="85"/>
      <c r="J329" s="85"/>
      <c r="K329" s="86" t="s">
        <v>53</v>
      </c>
      <c r="L329" s="86" t="s">
        <v>53</v>
      </c>
      <c r="M329" s="90"/>
      <c r="N329" s="90"/>
      <c r="O329" s="90"/>
      <c r="P329" s="90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90"/>
      <c r="AF329" s="81"/>
      <c r="AG329" s="81"/>
      <c r="AH329" s="81"/>
      <c r="AI329" s="81"/>
      <c r="AJ329" s="81"/>
      <c r="AK329" s="81"/>
      <c r="AL329" s="81"/>
      <c r="AM329" s="81" t="n">
        <f aca="false">O329+Q329+S329+U329+W329+Y329+AA329+AC329+AE329+AG329+AI329+AK329</f>
        <v>0</v>
      </c>
    </row>
    <row collapsed="false" customFormat="false" customHeight="true" hidden="false" ht="16.2" outlineLevel="0" r="330">
      <c r="A330" s="80"/>
      <c r="B330" s="89"/>
      <c r="C330" s="85"/>
      <c r="D330" s="85"/>
      <c r="E330" s="83" t="s">
        <v>1037</v>
      </c>
      <c r="F330" s="84" t="s">
        <v>1036</v>
      </c>
      <c r="G330" s="85"/>
      <c r="H330" s="85"/>
      <c r="I330" s="85"/>
      <c r="J330" s="85"/>
      <c r="K330" s="86"/>
      <c r="L330" s="86"/>
      <c r="M330" s="90" t="n">
        <f aca="false">2666+1548</f>
        <v>4214</v>
      </c>
      <c r="N330" s="91" t="n">
        <f aca="false">1586+979</f>
        <v>2565</v>
      </c>
      <c r="O330" s="90" t="n">
        <v>238</v>
      </c>
      <c r="P330" s="90" t="s">
        <v>1005</v>
      </c>
      <c r="Q330" s="81" t="n">
        <v>197</v>
      </c>
      <c r="R330" s="90" t="s">
        <v>1005</v>
      </c>
      <c r="S330" s="81" t="n">
        <v>179</v>
      </c>
      <c r="T330" s="81" t="s">
        <v>1005</v>
      </c>
      <c r="U330" s="81" t="n">
        <v>176</v>
      </c>
      <c r="V330" s="81" t="s">
        <v>1005</v>
      </c>
      <c r="W330" s="81" t="n">
        <v>207</v>
      </c>
      <c r="X330" s="81" t="s">
        <v>1005</v>
      </c>
      <c r="Y330" s="81" t="n">
        <v>177</v>
      </c>
      <c r="Z330" s="81" t="s">
        <v>1005</v>
      </c>
      <c r="AA330" s="81" t="n">
        <v>175</v>
      </c>
      <c r="AB330" s="81" t="s">
        <v>1005</v>
      </c>
      <c r="AC330" s="81" t="n">
        <v>194</v>
      </c>
      <c r="AD330" s="81" t="s">
        <v>1005</v>
      </c>
      <c r="AE330" s="90" t="n">
        <f aca="false">153+86</f>
        <v>239</v>
      </c>
      <c r="AF330" s="81" t="s">
        <v>1005</v>
      </c>
      <c r="AG330" s="81" t="n">
        <f aca="false">360+192</f>
        <v>552</v>
      </c>
      <c r="AH330" s="81" t="s">
        <v>1005</v>
      </c>
      <c r="AI330" s="81" t="n">
        <f aca="false">372+198</f>
        <v>570</v>
      </c>
      <c r="AJ330" s="81" t="s">
        <v>1005</v>
      </c>
      <c r="AK330" s="81" t="n">
        <f aca="false">234+129</f>
        <v>363</v>
      </c>
      <c r="AL330" s="81" t="s">
        <v>1005</v>
      </c>
      <c r="AM330" s="81" t="n">
        <f aca="false">O330+Q330+S330+U330+W330+Y330+AA330+AC330+AE330+AG330+AI330+AK330</f>
        <v>3267</v>
      </c>
    </row>
    <row collapsed="false" customFormat="false" customHeight="true" hidden="false" ht="16.2" outlineLevel="0" r="331">
      <c r="A331" s="80" t="n">
        <v>163</v>
      </c>
      <c r="B331" s="81" t="s">
        <v>276</v>
      </c>
      <c r="C331" s="82" t="s">
        <v>1033</v>
      </c>
      <c r="D331" s="82" t="s">
        <v>1034</v>
      </c>
      <c r="E331" s="83" t="s">
        <v>1035</v>
      </c>
      <c r="F331" s="84" t="s">
        <v>1036</v>
      </c>
      <c r="G331" s="85"/>
      <c r="H331" s="85"/>
      <c r="I331" s="85"/>
      <c r="J331" s="85"/>
      <c r="K331" s="86" t="s">
        <v>53</v>
      </c>
      <c r="L331" s="86" t="s">
        <v>53</v>
      </c>
      <c r="M331" s="90"/>
      <c r="N331" s="90"/>
      <c r="O331" s="90"/>
      <c r="P331" s="90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90"/>
      <c r="AF331" s="81"/>
      <c r="AG331" s="81"/>
      <c r="AH331" s="81"/>
      <c r="AI331" s="81"/>
      <c r="AJ331" s="81"/>
      <c r="AK331" s="81"/>
      <c r="AL331" s="81"/>
      <c r="AM331" s="81" t="n">
        <f aca="false">O331+Q331+S331+U331+W331+Y331+AA331+AC331+AE331+AG331+AI331+AK331</f>
        <v>0</v>
      </c>
    </row>
    <row collapsed="false" customFormat="false" customHeight="true" hidden="false" ht="16.2" outlineLevel="0" r="332">
      <c r="A332" s="80"/>
      <c r="B332" s="89"/>
      <c r="C332" s="85"/>
      <c r="D332" s="85"/>
      <c r="E332" s="83" t="s">
        <v>1037</v>
      </c>
      <c r="F332" s="84" t="s">
        <v>1036</v>
      </c>
      <c r="G332" s="85"/>
      <c r="H332" s="85"/>
      <c r="I332" s="85"/>
      <c r="J332" s="85"/>
      <c r="K332" s="86"/>
      <c r="L332" s="86"/>
      <c r="M332" s="102" t="n">
        <v>720</v>
      </c>
      <c r="N332" s="90" t="n">
        <f aca="false">287+422</f>
        <v>709</v>
      </c>
      <c r="O332" s="90" t="n">
        <v>490</v>
      </c>
      <c r="P332" s="90" t="s">
        <v>1005</v>
      </c>
      <c r="Q332" s="81" t="n">
        <v>394</v>
      </c>
      <c r="R332" s="90" t="s">
        <v>1005</v>
      </c>
      <c r="S332" s="81" t="n">
        <v>302</v>
      </c>
      <c r="T332" s="81" t="s">
        <v>1005</v>
      </c>
      <c r="U332" s="81" t="n">
        <v>317</v>
      </c>
      <c r="V332" s="81" t="s">
        <v>1005</v>
      </c>
      <c r="W332" s="81" t="n">
        <v>379</v>
      </c>
      <c r="X332" s="81" t="s">
        <v>1005</v>
      </c>
      <c r="Y332" s="81" t="n">
        <v>275</v>
      </c>
      <c r="Z332" s="81" t="s">
        <v>1005</v>
      </c>
      <c r="AA332" s="81" t="n">
        <v>202</v>
      </c>
      <c r="AB332" s="81" t="s">
        <v>1005</v>
      </c>
      <c r="AC332" s="81" t="n">
        <v>234</v>
      </c>
      <c r="AD332" s="81" t="s">
        <v>1005</v>
      </c>
      <c r="AE332" s="90" t="n">
        <f aca="false">149+127</f>
        <v>276</v>
      </c>
      <c r="AF332" s="81" t="s">
        <v>1005</v>
      </c>
      <c r="AG332" s="81" t="n">
        <f aca="false">167+130</f>
        <v>297</v>
      </c>
      <c r="AH332" s="81" t="s">
        <v>1005</v>
      </c>
      <c r="AI332" s="81" t="n">
        <f aca="false">250+169</f>
        <v>419</v>
      </c>
      <c r="AJ332" s="81" t="s">
        <v>1005</v>
      </c>
      <c r="AK332" s="81" t="n">
        <f aca="false">234+145</f>
        <v>379</v>
      </c>
      <c r="AL332" s="81" t="s">
        <v>1005</v>
      </c>
      <c r="AM332" s="81" t="n">
        <f aca="false">O332+Q332+S332+U332+W332+Y332+AA332+AC332+AE332+AG332+AI332+AK332</f>
        <v>3964</v>
      </c>
    </row>
    <row collapsed="false" customFormat="false" customHeight="true" hidden="false" ht="16.2" outlineLevel="0" r="333">
      <c r="A333" s="80" t="n">
        <v>167</v>
      </c>
      <c r="B333" s="81" t="s">
        <v>282</v>
      </c>
      <c r="C333" s="82" t="s">
        <v>1033</v>
      </c>
      <c r="D333" s="82" t="s">
        <v>1034</v>
      </c>
      <c r="E333" s="83" t="s">
        <v>1035</v>
      </c>
      <c r="F333" s="84" t="s">
        <v>1036</v>
      </c>
      <c r="G333" s="85"/>
      <c r="H333" s="85"/>
      <c r="I333" s="85"/>
      <c r="J333" s="85"/>
      <c r="K333" s="86" t="s">
        <v>53</v>
      </c>
      <c r="L333" s="86" t="s">
        <v>53</v>
      </c>
      <c r="M333" s="90"/>
      <c r="N333" s="90"/>
      <c r="O333" s="90"/>
      <c r="P333" s="90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90"/>
      <c r="AF333" s="81"/>
      <c r="AG333" s="81"/>
      <c r="AH333" s="81"/>
      <c r="AI333" s="81"/>
      <c r="AJ333" s="81"/>
      <c r="AK333" s="81"/>
      <c r="AL333" s="81"/>
      <c r="AM333" s="81" t="n">
        <f aca="false">O333+Q333+S333+U333+W333+Y333+AA333+AC333+AE333+AG333+AI333+AK333</f>
        <v>0</v>
      </c>
    </row>
    <row collapsed="false" customFormat="false" customHeight="true" hidden="false" ht="16.2" outlineLevel="0" r="334">
      <c r="A334" s="80"/>
      <c r="B334" s="89"/>
      <c r="C334" s="85"/>
      <c r="D334" s="85"/>
      <c r="E334" s="83" t="s">
        <v>1037</v>
      </c>
      <c r="F334" s="84" t="s">
        <v>1036</v>
      </c>
      <c r="G334" s="85"/>
      <c r="H334" s="85"/>
      <c r="I334" s="85"/>
      <c r="J334" s="85"/>
      <c r="K334" s="86"/>
      <c r="L334" s="86"/>
      <c r="M334" s="90" t="n">
        <f aca="false">1630+839</f>
        <v>2469</v>
      </c>
      <c r="N334" s="91" t="n">
        <f aca="false">2281+1204</f>
        <v>3485</v>
      </c>
      <c r="O334" s="90" t="n">
        <v>296</v>
      </c>
      <c r="P334" s="90" t="s">
        <v>1005</v>
      </c>
      <c r="Q334" s="81" t="n">
        <v>241</v>
      </c>
      <c r="R334" s="90" t="s">
        <v>1005</v>
      </c>
      <c r="S334" s="81" t="n">
        <v>100</v>
      </c>
      <c r="T334" s="81" t="s">
        <v>1005</v>
      </c>
      <c r="U334" s="81" t="n">
        <v>115</v>
      </c>
      <c r="V334" s="81" t="s">
        <v>1005</v>
      </c>
      <c r="W334" s="81" t="n">
        <v>288</v>
      </c>
      <c r="X334" s="81" t="s">
        <v>1005</v>
      </c>
      <c r="Y334" s="81" t="n">
        <v>401</v>
      </c>
      <c r="Z334" s="81" t="s">
        <v>1005</v>
      </c>
      <c r="AA334" s="81" t="n">
        <v>122</v>
      </c>
      <c r="AB334" s="81" t="s">
        <v>1005</v>
      </c>
      <c r="AC334" s="81" t="n">
        <v>389</v>
      </c>
      <c r="AD334" s="81" t="s">
        <v>1005</v>
      </c>
      <c r="AE334" s="90" t="n">
        <f aca="false">113+60</f>
        <v>173</v>
      </c>
      <c r="AF334" s="81" t="s">
        <v>1005</v>
      </c>
      <c r="AG334" s="81" t="n">
        <f aca="false">65+35</f>
        <v>100</v>
      </c>
      <c r="AH334" s="81" t="s">
        <v>1005</v>
      </c>
      <c r="AI334" s="81" t="n">
        <f aca="false">224+115</f>
        <v>339</v>
      </c>
      <c r="AJ334" s="81" t="s">
        <v>1005</v>
      </c>
      <c r="AK334" s="81" t="n">
        <f aca="false">181+93</f>
        <v>274</v>
      </c>
      <c r="AL334" s="81" t="s">
        <v>1005</v>
      </c>
      <c r="AM334" s="81" t="n">
        <f aca="false">O334+Q334+S334+U334+W334+Y334+AA334+AC334+AE334+AG334+AI334+AK334</f>
        <v>2838</v>
      </c>
    </row>
    <row collapsed="false" customFormat="false" customHeight="true" hidden="false" ht="16.2" outlineLevel="0" r="335">
      <c r="A335" s="80" t="n">
        <v>168</v>
      </c>
      <c r="B335" s="81" t="s">
        <v>283</v>
      </c>
      <c r="C335" s="82" t="s">
        <v>1033</v>
      </c>
      <c r="D335" s="82" t="s">
        <v>1034</v>
      </c>
      <c r="E335" s="83" t="s">
        <v>1035</v>
      </c>
      <c r="F335" s="84" t="s">
        <v>1036</v>
      </c>
      <c r="G335" s="85"/>
      <c r="H335" s="85"/>
      <c r="I335" s="85"/>
      <c r="J335" s="85"/>
      <c r="K335" s="86" t="s">
        <v>53</v>
      </c>
      <c r="L335" s="86" t="s">
        <v>53</v>
      </c>
      <c r="M335" s="90"/>
      <c r="N335" s="90"/>
      <c r="O335" s="90"/>
      <c r="P335" s="90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90"/>
      <c r="AF335" s="81"/>
      <c r="AG335" s="81"/>
      <c r="AH335" s="81"/>
      <c r="AI335" s="81"/>
      <c r="AJ335" s="81"/>
      <c r="AK335" s="81"/>
      <c r="AL335" s="81"/>
      <c r="AM335" s="81" t="n">
        <f aca="false">O335+Q335+S335+U335+W335+Y335+AA335+AC335+AE335+AG335+AI335+AK335</f>
        <v>0</v>
      </c>
    </row>
    <row collapsed="false" customFormat="false" customHeight="true" hidden="false" ht="16.2" outlineLevel="0" r="336">
      <c r="A336" s="80"/>
      <c r="B336" s="89"/>
      <c r="C336" s="85"/>
      <c r="D336" s="85"/>
      <c r="E336" s="83" t="s">
        <v>1037</v>
      </c>
      <c r="F336" s="84" t="s">
        <v>1036</v>
      </c>
      <c r="G336" s="85"/>
      <c r="H336" s="85"/>
      <c r="I336" s="85"/>
      <c r="J336" s="85"/>
      <c r="K336" s="86"/>
      <c r="L336" s="86"/>
      <c r="M336" s="90" t="n">
        <f aca="false">1507+1264</f>
        <v>2771</v>
      </c>
      <c r="N336" s="91" t="n">
        <f aca="false">1039+901</f>
        <v>1940</v>
      </c>
      <c r="O336" s="90" t="n">
        <v>277</v>
      </c>
      <c r="P336" s="90" t="s">
        <v>1005</v>
      </c>
      <c r="Q336" s="81" t="n">
        <v>663</v>
      </c>
      <c r="R336" s="90" t="s">
        <v>1005</v>
      </c>
      <c r="S336" s="81" t="n">
        <v>91</v>
      </c>
      <c r="T336" s="81" t="s">
        <v>1005</v>
      </c>
      <c r="U336" s="81" t="n">
        <v>76</v>
      </c>
      <c r="V336" s="81" t="s">
        <v>1005</v>
      </c>
      <c r="W336" s="81" t="n">
        <v>69</v>
      </c>
      <c r="X336" s="81" t="s">
        <v>1005</v>
      </c>
      <c r="Y336" s="81" t="n">
        <v>67</v>
      </c>
      <c r="Z336" s="81" t="s">
        <v>1005</v>
      </c>
      <c r="AA336" s="81" t="n">
        <v>78</v>
      </c>
      <c r="AB336" s="81" t="s">
        <v>1005</v>
      </c>
      <c r="AC336" s="81" t="n">
        <v>122</v>
      </c>
      <c r="AD336" s="81" t="s">
        <v>1005</v>
      </c>
      <c r="AE336" s="90" t="n">
        <f aca="false">91+99</f>
        <v>190</v>
      </c>
      <c r="AF336" s="81" t="s">
        <v>1005</v>
      </c>
      <c r="AG336" s="81" t="n">
        <f aca="false">95+84</f>
        <v>179</v>
      </c>
      <c r="AH336" s="81" t="s">
        <v>1005</v>
      </c>
      <c r="AI336" s="81" t="n">
        <f aca="false">134+99</f>
        <v>233</v>
      </c>
      <c r="AJ336" s="81" t="s">
        <v>1005</v>
      </c>
      <c r="AK336" s="81" t="n">
        <f aca="false">151+99</f>
        <v>250</v>
      </c>
      <c r="AL336" s="81" t="s">
        <v>1005</v>
      </c>
      <c r="AM336" s="81" t="n">
        <f aca="false">O336+Q336+S336+U336+W336+Y336+AA336+AC336+AE336+AG336+AI336+AK336</f>
        <v>2295</v>
      </c>
    </row>
    <row collapsed="false" customFormat="false" customHeight="true" hidden="false" ht="16.2" outlineLevel="0" r="337">
      <c r="A337" s="80" t="n">
        <v>169</v>
      </c>
      <c r="B337" s="81" t="s">
        <v>285</v>
      </c>
      <c r="C337" s="82" t="s">
        <v>1033</v>
      </c>
      <c r="D337" s="82" t="s">
        <v>1034</v>
      </c>
      <c r="E337" s="83" t="s">
        <v>1035</v>
      </c>
      <c r="F337" s="84" t="s">
        <v>1036</v>
      </c>
      <c r="G337" s="85"/>
      <c r="H337" s="85"/>
      <c r="I337" s="85"/>
      <c r="J337" s="85"/>
      <c r="K337" s="86" t="s">
        <v>53</v>
      </c>
      <c r="L337" s="86" t="s">
        <v>53</v>
      </c>
      <c r="M337" s="90"/>
      <c r="N337" s="90"/>
      <c r="O337" s="90"/>
      <c r="P337" s="90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90"/>
      <c r="AF337" s="81"/>
      <c r="AG337" s="81"/>
      <c r="AH337" s="81"/>
      <c r="AI337" s="81"/>
      <c r="AJ337" s="81"/>
      <c r="AK337" s="81"/>
      <c r="AL337" s="81"/>
      <c r="AM337" s="81" t="n">
        <f aca="false">O337+Q337+S337+U337+W337+Y337+AA337+AC337+AE337+AG337+AI337+AK337</f>
        <v>0</v>
      </c>
    </row>
    <row collapsed="false" customFormat="false" customHeight="true" hidden="false" ht="16.2" outlineLevel="0" r="338">
      <c r="A338" s="80"/>
      <c r="B338" s="89"/>
      <c r="C338" s="85"/>
      <c r="D338" s="85"/>
      <c r="E338" s="83" t="s">
        <v>1037</v>
      </c>
      <c r="F338" s="84" t="s">
        <v>1036</v>
      </c>
      <c r="G338" s="85"/>
      <c r="H338" s="85"/>
      <c r="I338" s="85"/>
      <c r="J338" s="85"/>
      <c r="K338" s="86"/>
      <c r="L338" s="86"/>
      <c r="M338" s="90" t="n">
        <f aca="false">4392+2097</f>
        <v>6489</v>
      </c>
      <c r="N338" s="91" t="n">
        <f aca="false">4629+1950</f>
        <v>6579</v>
      </c>
      <c r="O338" s="90" t="n">
        <v>512</v>
      </c>
      <c r="P338" s="90" t="s">
        <v>1005</v>
      </c>
      <c r="Q338" s="81" t="n">
        <v>450</v>
      </c>
      <c r="R338" s="90" t="s">
        <v>1005</v>
      </c>
      <c r="S338" s="81" t="n">
        <v>407</v>
      </c>
      <c r="T338" s="81" t="s">
        <v>1005</v>
      </c>
      <c r="U338" s="81" t="n">
        <v>502</v>
      </c>
      <c r="V338" s="81" t="s">
        <v>1005</v>
      </c>
      <c r="W338" s="81" t="n">
        <v>389</v>
      </c>
      <c r="X338" s="81" t="s">
        <v>1005</v>
      </c>
      <c r="Y338" s="81" t="n">
        <v>479</v>
      </c>
      <c r="Z338" s="81" t="s">
        <v>1005</v>
      </c>
      <c r="AA338" s="81" t="n">
        <v>246</v>
      </c>
      <c r="AB338" s="81" t="s">
        <v>1005</v>
      </c>
      <c r="AC338" s="81" t="n">
        <v>332</v>
      </c>
      <c r="AD338" s="81" t="s">
        <v>1005</v>
      </c>
      <c r="AE338" s="90" t="n">
        <f aca="false">268+141</f>
        <v>409</v>
      </c>
      <c r="AF338" s="81" t="s">
        <v>1005</v>
      </c>
      <c r="AG338" s="81" t="n">
        <f aca="false">333+144</f>
        <v>477</v>
      </c>
      <c r="AH338" s="81" t="s">
        <v>1005</v>
      </c>
      <c r="AI338" s="81" t="n">
        <f aca="false">408+130</f>
        <v>538</v>
      </c>
      <c r="AJ338" s="81" t="s">
        <v>1005</v>
      </c>
      <c r="AK338" s="81" t="n">
        <f aca="false">493+200</f>
        <v>693</v>
      </c>
      <c r="AL338" s="81" t="s">
        <v>1005</v>
      </c>
      <c r="AM338" s="81" t="n">
        <f aca="false">O338+Q338+S338+U338+W338+Y338+AA338+AC338+AE338+AG338+AI338+AK338</f>
        <v>5434</v>
      </c>
    </row>
    <row collapsed="false" customFormat="false" customHeight="true" hidden="false" ht="16.2" outlineLevel="0" r="339">
      <c r="A339" s="80" t="n">
        <v>170</v>
      </c>
      <c r="B339" s="81" t="s">
        <v>286</v>
      </c>
      <c r="C339" s="82" t="s">
        <v>1033</v>
      </c>
      <c r="D339" s="82" t="s">
        <v>1034</v>
      </c>
      <c r="E339" s="83" t="s">
        <v>1035</v>
      </c>
      <c r="F339" s="84" t="s">
        <v>1036</v>
      </c>
      <c r="G339" s="85"/>
      <c r="H339" s="85"/>
      <c r="I339" s="85"/>
      <c r="J339" s="85"/>
      <c r="K339" s="86" t="s">
        <v>53</v>
      </c>
      <c r="L339" s="86" t="s">
        <v>53</v>
      </c>
      <c r="M339" s="90"/>
      <c r="N339" s="90"/>
      <c r="O339" s="90"/>
      <c r="P339" s="90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90"/>
      <c r="AF339" s="81"/>
      <c r="AG339" s="81"/>
      <c r="AH339" s="81"/>
      <c r="AI339" s="81"/>
      <c r="AJ339" s="81"/>
      <c r="AK339" s="81"/>
      <c r="AL339" s="81"/>
      <c r="AM339" s="81" t="n">
        <f aca="false">O339+Q339+S339+U339+W339+Y339+AA339+AC339+AE339+AG339+AI339+AK339</f>
        <v>0</v>
      </c>
    </row>
    <row collapsed="false" customFormat="false" customHeight="true" hidden="false" ht="16.2" outlineLevel="0" r="340">
      <c r="A340" s="80"/>
      <c r="B340" s="89"/>
      <c r="C340" s="85"/>
      <c r="D340" s="85"/>
      <c r="E340" s="83" t="s">
        <v>1037</v>
      </c>
      <c r="F340" s="84" t="s">
        <v>1036</v>
      </c>
      <c r="G340" s="85"/>
      <c r="H340" s="85"/>
      <c r="I340" s="85"/>
      <c r="J340" s="85"/>
      <c r="K340" s="86"/>
      <c r="L340" s="86"/>
      <c r="M340" s="90" t="n">
        <f aca="false">1392+1473</f>
        <v>2865</v>
      </c>
      <c r="N340" s="91" t="n">
        <f aca="false">1367+1277</f>
        <v>2644</v>
      </c>
      <c r="O340" s="90" t="n">
        <v>286</v>
      </c>
      <c r="P340" s="90" t="s">
        <v>1005</v>
      </c>
      <c r="Q340" s="81" t="n">
        <v>230</v>
      </c>
      <c r="R340" s="90" t="s">
        <v>1005</v>
      </c>
      <c r="S340" s="81" t="n">
        <v>216</v>
      </c>
      <c r="T340" s="81" t="s">
        <v>1005</v>
      </c>
      <c r="U340" s="81" t="n">
        <v>244</v>
      </c>
      <c r="V340" s="81" t="s">
        <v>1005</v>
      </c>
      <c r="W340" s="81" t="n">
        <v>177</v>
      </c>
      <c r="X340" s="81" t="s">
        <v>1005</v>
      </c>
      <c r="Y340" s="81" t="n">
        <v>168</v>
      </c>
      <c r="Z340" s="81" t="s">
        <v>1005</v>
      </c>
      <c r="AA340" s="81" t="n">
        <v>105</v>
      </c>
      <c r="AB340" s="81" t="s">
        <v>1005</v>
      </c>
      <c r="AC340" s="81" t="n">
        <v>142</v>
      </c>
      <c r="AD340" s="81" t="s">
        <v>1005</v>
      </c>
      <c r="AE340" s="90" t="n">
        <f aca="false">84+81</f>
        <v>165</v>
      </c>
      <c r="AF340" s="81" t="s">
        <v>1005</v>
      </c>
      <c r="AG340" s="81" t="n">
        <f aca="false">129+113</f>
        <v>242</v>
      </c>
      <c r="AH340" s="81" t="s">
        <v>1005</v>
      </c>
      <c r="AI340" s="81" t="n">
        <f aca="false">183+138</f>
        <v>321</v>
      </c>
      <c r="AJ340" s="81" t="s">
        <v>1005</v>
      </c>
      <c r="AK340" s="81" t="n">
        <f aca="false">191+122</f>
        <v>313</v>
      </c>
      <c r="AL340" s="81" t="s">
        <v>1005</v>
      </c>
      <c r="AM340" s="81" t="n">
        <f aca="false">O340+Q340+S340+U340+W340+Y340+AA340+AC340+AE340+AG340+AI340+AK340</f>
        <v>2609</v>
      </c>
    </row>
    <row collapsed="false" customFormat="false" customHeight="true" hidden="false" ht="16.2" outlineLevel="0" r="341">
      <c r="A341" s="80" t="n">
        <v>171</v>
      </c>
      <c r="B341" s="81" t="s">
        <v>287</v>
      </c>
      <c r="C341" s="82" t="s">
        <v>1033</v>
      </c>
      <c r="D341" s="82" t="s">
        <v>1034</v>
      </c>
      <c r="E341" s="83" t="s">
        <v>1035</v>
      </c>
      <c r="F341" s="84" t="s">
        <v>1036</v>
      </c>
      <c r="G341" s="85"/>
      <c r="H341" s="85"/>
      <c r="I341" s="85"/>
      <c r="J341" s="85"/>
      <c r="K341" s="86" t="s">
        <v>53</v>
      </c>
      <c r="L341" s="86" t="s">
        <v>53</v>
      </c>
      <c r="M341" s="90"/>
      <c r="N341" s="90"/>
      <c r="O341" s="90"/>
      <c r="P341" s="90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90"/>
      <c r="AF341" s="81"/>
      <c r="AG341" s="81"/>
      <c r="AH341" s="81"/>
      <c r="AI341" s="81"/>
      <c r="AJ341" s="81"/>
      <c r="AK341" s="81"/>
      <c r="AL341" s="81"/>
      <c r="AM341" s="81" t="n">
        <f aca="false">O341+Q341+S341+U341+W341+Y341+AA341+AC341+AE341+AG341+AI341+AK341</f>
        <v>0</v>
      </c>
    </row>
    <row collapsed="false" customFormat="false" customHeight="true" hidden="false" ht="16.2" outlineLevel="0" r="342">
      <c r="A342" s="80"/>
      <c r="B342" s="89"/>
      <c r="C342" s="85"/>
      <c r="D342" s="85"/>
      <c r="E342" s="83" t="s">
        <v>1037</v>
      </c>
      <c r="F342" s="84" t="s">
        <v>1036</v>
      </c>
      <c r="G342" s="85"/>
      <c r="H342" s="85"/>
      <c r="I342" s="85"/>
      <c r="J342" s="85"/>
      <c r="K342" s="86"/>
      <c r="L342" s="86"/>
      <c r="M342" s="90" t="n">
        <f aca="false">2167+1803</f>
        <v>3970</v>
      </c>
      <c r="N342" s="91" t="n">
        <f aca="false">1971+1767</f>
        <v>3738</v>
      </c>
      <c r="O342" s="90" t="n">
        <v>426</v>
      </c>
      <c r="P342" s="90" t="s">
        <v>1005</v>
      </c>
      <c r="Q342" s="81" t="n">
        <v>355</v>
      </c>
      <c r="R342" s="90" t="s">
        <v>1005</v>
      </c>
      <c r="S342" s="81" t="n">
        <v>344</v>
      </c>
      <c r="T342" s="81" t="s">
        <v>1005</v>
      </c>
      <c r="U342" s="81" t="n">
        <v>371</v>
      </c>
      <c r="V342" s="81" t="s">
        <v>1005</v>
      </c>
      <c r="W342" s="81" t="n">
        <v>189</v>
      </c>
      <c r="X342" s="81" t="s">
        <v>1005</v>
      </c>
      <c r="Y342" s="81" t="n">
        <v>209</v>
      </c>
      <c r="Z342" s="81" t="s">
        <v>1005</v>
      </c>
      <c r="AA342" s="81" t="n">
        <v>189</v>
      </c>
      <c r="AB342" s="81" t="s">
        <v>1005</v>
      </c>
      <c r="AC342" s="81" t="n">
        <v>220</v>
      </c>
      <c r="AD342" s="81" t="s">
        <v>1005</v>
      </c>
      <c r="AE342" s="90" t="n">
        <f aca="false">89+96</f>
        <v>185</v>
      </c>
      <c r="AF342" s="81" t="s">
        <v>1005</v>
      </c>
      <c r="AG342" s="81" t="n">
        <f aca="false">135+130</f>
        <v>265</v>
      </c>
      <c r="AH342" s="81" t="s">
        <v>1005</v>
      </c>
      <c r="AI342" s="81" t="n">
        <f aca="false">259+198</f>
        <v>457</v>
      </c>
      <c r="AJ342" s="81" t="s">
        <v>1005</v>
      </c>
      <c r="AK342" s="81" t="n">
        <f aca="false">245+169</f>
        <v>414</v>
      </c>
      <c r="AL342" s="81" t="s">
        <v>1005</v>
      </c>
      <c r="AM342" s="81" t="n">
        <f aca="false">O342+Q342+S342+U342+W342+Y342+AA342+AC342+AE342+AG342+AI342+AK342</f>
        <v>3624</v>
      </c>
    </row>
    <row collapsed="false" customFormat="false" customHeight="true" hidden="false" ht="16.2" outlineLevel="0" r="343">
      <c r="A343" s="80" t="n">
        <v>172</v>
      </c>
      <c r="B343" s="81"/>
      <c r="C343" s="82" t="s">
        <v>1033</v>
      </c>
      <c r="D343" s="85"/>
      <c r="E343" s="83" t="s">
        <v>1035</v>
      </c>
      <c r="F343" s="49" t="s">
        <v>1036</v>
      </c>
      <c r="G343" s="85"/>
      <c r="H343" s="85"/>
      <c r="I343" s="85"/>
      <c r="J343" s="85"/>
      <c r="K343" s="85"/>
      <c r="L343" s="85"/>
      <c r="M343" s="81"/>
      <c r="N343" s="81"/>
      <c r="O343" s="96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</row>
    <row collapsed="false" customFormat="false" customHeight="true" hidden="false" ht="16.2" outlineLevel="0" r="344">
      <c r="A344" s="80"/>
      <c r="B344" s="81" t="s">
        <v>289</v>
      </c>
      <c r="C344" s="85"/>
      <c r="D344" s="85" t="s">
        <v>1054</v>
      </c>
      <c r="E344" s="83" t="s">
        <v>1037</v>
      </c>
      <c r="F344" s="49" t="s">
        <v>1036</v>
      </c>
      <c r="G344" s="85" t="s">
        <v>1042</v>
      </c>
      <c r="H344" s="85" t="n">
        <v>30</v>
      </c>
      <c r="I344" s="85" t="s">
        <v>1039</v>
      </c>
      <c r="J344" s="85" t="n">
        <v>7</v>
      </c>
      <c r="K344" s="85" t="s">
        <v>1041</v>
      </c>
      <c r="L344" s="85" t="s">
        <v>1041</v>
      </c>
      <c r="M344" s="81" t="n">
        <v>6714</v>
      </c>
      <c r="N344" s="81"/>
      <c r="O344" s="96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</row>
    <row collapsed="false" customFormat="false" customHeight="true" hidden="false" ht="16.2" outlineLevel="0" r="345">
      <c r="A345" s="80" t="n">
        <v>173</v>
      </c>
      <c r="B345" s="81"/>
      <c r="C345" s="82" t="s">
        <v>1033</v>
      </c>
      <c r="D345" s="85"/>
      <c r="E345" s="83" t="s">
        <v>1035</v>
      </c>
      <c r="F345" s="49" t="s">
        <v>1036</v>
      </c>
      <c r="G345" s="85"/>
      <c r="H345" s="85"/>
      <c r="I345" s="85"/>
      <c r="J345" s="85"/>
      <c r="K345" s="85"/>
      <c r="L345" s="85"/>
      <c r="M345" s="81"/>
      <c r="N345" s="81"/>
      <c r="O345" s="96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</row>
    <row collapsed="false" customFormat="false" customHeight="true" hidden="false" ht="16.2" outlineLevel="0" r="346">
      <c r="A346" s="80"/>
      <c r="B346" s="81" t="s">
        <v>290</v>
      </c>
      <c r="C346" s="85"/>
      <c r="D346" s="85" t="s">
        <v>1054</v>
      </c>
      <c r="E346" s="83" t="s">
        <v>1037</v>
      </c>
      <c r="F346" s="49" t="s">
        <v>1036</v>
      </c>
      <c r="G346" s="85" t="s">
        <v>1039</v>
      </c>
      <c r="H346" s="85" t="n">
        <v>25</v>
      </c>
      <c r="I346" s="85" t="s">
        <v>1039</v>
      </c>
      <c r="J346" s="85" t="n">
        <v>5</v>
      </c>
      <c r="K346" s="85" t="s">
        <v>1041</v>
      </c>
      <c r="L346" s="85" t="s">
        <v>1041</v>
      </c>
      <c r="M346" s="81" t="n">
        <v>6816</v>
      </c>
      <c r="N346" s="81"/>
      <c r="O346" s="96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</row>
    <row collapsed="false" customFormat="false" customHeight="true" hidden="false" ht="16.2" outlineLevel="0" r="347">
      <c r="A347" s="80" t="n">
        <v>174</v>
      </c>
      <c r="B347" s="81"/>
      <c r="C347" s="82" t="s">
        <v>1033</v>
      </c>
      <c r="D347" s="85"/>
      <c r="E347" s="83" t="s">
        <v>1035</v>
      </c>
      <c r="F347" s="49" t="s">
        <v>1036</v>
      </c>
      <c r="G347" s="85"/>
      <c r="H347" s="85"/>
      <c r="I347" s="85"/>
      <c r="J347" s="85"/>
      <c r="K347" s="85"/>
      <c r="L347" s="85"/>
      <c r="M347" s="81"/>
      <c r="N347" s="81"/>
      <c r="O347" s="96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</row>
    <row collapsed="false" customFormat="false" customHeight="true" hidden="false" ht="16.2" outlineLevel="0" r="348">
      <c r="A348" s="80"/>
      <c r="B348" s="81" t="s">
        <v>291</v>
      </c>
      <c r="C348" s="85"/>
      <c r="D348" s="85" t="s">
        <v>1054</v>
      </c>
      <c r="E348" s="83" t="s">
        <v>1037</v>
      </c>
      <c r="F348" s="49" t="s">
        <v>1036</v>
      </c>
      <c r="G348" s="85" t="s">
        <v>1039</v>
      </c>
      <c r="H348" s="85" t="n">
        <v>25</v>
      </c>
      <c r="I348" s="85" t="s">
        <v>1039</v>
      </c>
      <c r="J348" s="85" t="n">
        <v>5</v>
      </c>
      <c r="K348" s="85" t="s">
        <v>1041</v>
      </c>
      <c r="L348" s="85" t="s">
        <v>1041</v>
      </c>
      <c r="M348" s="81" t="n">
        <v>11190</v>
      </c>
      <c r="N348" s="81"/>
      <c r="O348" s="96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</row>
    <row collapsed="false" customFormat="false" customHeight="true" hidden="false" ht="16.2" outlineLevel="0" r="349">
      <c r="A349" s="80" t="n">
        <v>175</v>
      </c>
      <c r="B349" s="81"/>
      <c r="C349" s="82" t="s">
        <v>1033</v>
      </c>
      <c r="D349" s="85"/>
      <c r="E349" s="83" t="s">
        <v>1035</v>
      </c>
      <c r="F349" s="49" t="s">
        <v>1036</v>
      </c>
      <c r="G349" s="85"/>
      <c r="H349" s="85"/>
      <c r="I349" s="85"/>
      <c r="J349" s="85"/>
      <c r="K349" s="85"/>
      <c r="L349" s="85"/>
      <c r="M349" s="81"/>
      <c r="N349" s="81"/>
      <c r="O349" s="96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</row>
    <row collapsed="false" customFormat="false" customHeight="true" hidden="false" ht="16.2" outlineLevel="0" r="350">
      <c r="A350" s="80"/>
      <c r="B350" s="81" t="s">
        <v>292</v>
      </c>
      <c r="C350" s="85"/>
      <c r="D350" s="85" t="s">
        <v>1054</v>
      </c>
      <c r="E350" s="83" t="s">
        <v>1037</v>
      </c>
      <c r="F350" s="49" t="s">
        <v>1036</v>
      </c>
      <c r="G350" s="85" t="s">
        <v>1039</v>
      </c>
      <c r="H350" s="85" t="n">
        <v>30</v>
      </c>
      <c r="I350" s="85" t="s">
        <v>1039</v>
      </c>
      <c r="J350" s="85" t="n">
        <v>6</v>
      </c>
      <c r="K350" s="85" t="s">
        <v>1041</v>
      </c>
      <c r="L350" s="85" t="s">
        <v>1041</v>
      </c>
      <c r="M350" s="81" t="n">
        <v>14802</v>
      </c>
      <c r="N350" s="81"/>
      <c r="O350" s="96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</row>
    <row collapsed="false" customFormat="false" customHeight="true" hidden="false" ht="16.2" outlineLevel="0" r="351">
      <c r="A351" s="80" t="n">
        <v>176</v>
      </c>
      <c r="B351" s="81"/>
      <c r="C351" s="82" t="s">
        <v>1033</v>
      </c>
      <c r="D351" s="85"/>
      <c r="E351" s="83" t="s">
        <v>1035</v>
      </c>
      <c r="F351" s="49" t="s">
        <v>1036</v>
      </c>
      <c r="G351" s="85"/>
      <c r="H351" s="85"/>
      <c r="I351" s="85"/>
      <c r="J351" s="85"/>
      <c r="K351" s="85"/>
      <c r="L351" s="85"/>
      <c r="M351" s="81"/>
      <c r="N351" s="81"/>
      <c r="O351" s="96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</row>
    <row collapsed="false" customFormat="false" customHeight="true" hidden="false" ht="16.2" outlineLevel="0" r="352">
      <c r="A352" s="80"/>
      <c r="B352" s="81" t="s">
        <v>294</v>
      </c>
      <c r="C352" s="85"/>
      <c r="D352" s="85" t="s">
        <v>1054</v>
      </c>
      <c r="E352" s="83" t="s">
        <v>1037</v>
      </c>
      <c r="F352" s="49" t="s">
        <v>1036</v>
      </c>
      <c r="G352" s="85" t="s">
        <v>1039</v>
      </c>
      <c r="H352" s="85" t="n">
        <v>15</v>
      </c>
      <c r="I352" s="85" t="s">
        <v>1039</v>
      </c>
      <c r="J352" s="85" t="n">
        <v>4</v>
      </c>
      <c r="K352" s="85" t="s">
        <v>1041</v>
      </c>
      <c r="L352" s="85" t="s">
        <v>1041</v>
      </c>
      <c r="M352" s="81" t="n">
        <v>0</v>
      </c>
      <c r="N352" s="81"/>
      <c r="O352" s="96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  <c r="AL352" s="81"/>
      <c r="AM352" s="81"/>
    </row>
    <row collapsed="false" customFormat="false" customHeight="true" hidden="false" ht="16.2" outlineLevel="0" r="353">
      <c r="A353" s="80" t="n">
        <v>177</v>
      </c>
      <c r="B353" s="100" t="s">
        <v>296</v>
      </c>
      <c r="C353" s="82" t="s">
        <v>1033</v>
      </c>
      <c r="D353" s="92" t="s">
        <v>1056</v>
      </c>
      <c r="E353" s="83" t="s">
        <v>1035</v>
      </c>
      <c r="F353" s="49" t="s">
        <v>1036</v>
      </c>
      <c r="G353" s="92"/>
      <c r="H353" s="85"/>
      <c r="I353" s="85"/>
      <c r="J353" s="85"/>
      <c r="K353" s="93"/>
      <c r="L353" s="93"/>
      <c r="M353" s="81"/>
      <c r="N353" s="81"/>
      <c r="O353" s="90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81"/>
    </row>
    <row collapsed="false" customFormat="false" customHeight="true" hidden="false" ht="16.2" outlineLevel="0" r="354">
      <c r="A354" s="80"/>
      <c r="B354" s="101"/>
      <c r="C354" s="85"/>
      <c r="D354" s="92"/>
      <c r="E354" s="83" t="s">
        <v>1037</v>
      </c>
      <c r="F354" s="49" t="s">
        <v>1036</v>
      </c>
      <c r="G354" s="85" t="s">
        <v>1057</v>
      </c>
      <c r="H354" s="85" t="n">
        <v>8</v>
      </c>
      <c r="I354" s="85" t="s">
        <v>1046</v>
      </c>
      <c r="J354" s="85" t="n">
        <v>2</v>
      </c>
      <c r="K354" s="93" t="s">
        <v>53</v>
      </c>
      <c r="L354" s="93" t="s">
        <v>53</v>
      </c>
      <c r="M354" s="81" t="n">
        <v>1449</v>
      </c>
      <c r="N354" s="81" t="n">
        <v>1378</v>
      </c>
      <c r="O354" s="90" t="n">
        <v>271</v>
      </c>
      <c r="P354" s="95" t="s">
        <v>1005</v>
      </c>
      <c r="Q354" s="81" t="n">
        <v>271</v>
      </c>
      <c r="R354" s="95" t="s">
        <v>1005</v>
      </c>
      <c r="S354" s="81" t="n">
        <v>154</v>
      </c>
      <c r="T354" s="95" t="s">
        <v>1005</v>
      </c>
      <c r="U354" s="81" t="n">
        <v>115</v>
      </c>
      <c r="V354" s="95" t="s">
        <v>1005</v>
      </c>
      <c r="W354" s="81" t="n">
        <v>57</v>
      </c>
      <c r="X354" s="95" t="s">
        <v>1005</v>
      </c>
      <c r="Y354" s="81" t="n">
        <v>12</v>
      </c>
      <c r="Z354" s="95" t="s">
        <v>1005</v>
      </c>
      <c r="AA354" s="81" t="n">
        <v>16</v>
      </c>
      <c r="AB354" s="95" t="s">
        <v>1005</v>
      </c>
      <c r="AC354" s="81" t="n">
        <v>19</v>
      </c>
      <c r="AD354" s="95" t="s">
        <v>1005</v>
      </c>
      <c r="AE354" s="81" t="n">
        <v>28</v>
      </c>
      <c r="AF354" s="95" t="s">
        <v>1005</v>
      </c>
      <c r="AG354" s="81" t="n">
        <v>5</v>
      </c>
      <c r="AH354" s="95" t="s">
        <v>1005</v>
      </c>
      <c r="AI354" s="81" t="n">
        <v>169</v>
      </c>
      <c r="AJ354" s="95" t="s">
        <v>1005</v>
      </c>
      <c r="AK354" s="81" t="n">
        <v>166</v>
      </c>
      <c r="AL354" s="95" t="s">
        <v>1005</v>
      </c>
      <c r="AM354" s="81" t="n">
        <f aca="false">O354+Q354+S354+U354+W354+Y354+AA354+AC354+AE354+AG354+AI354+AK354</f>
        <v>1283</v>
      </c>
    </row>
    <row collapsed="false" customFormat="false" customHeight="true" hidden="false" ht="16.2" outlineLevel="0" r="355">
      <c r="A355" s="80" t="n">
        <v>178</v>
      </c>
      <c r="B355" s="100" t="s">
        <v>297</v>
      </c>
      <c r="C355" s="82" t="s">
        <v>1033</v>
      </c>
      <c r="D355" s="92" t="s">
        <v>1056</v>
      </c>
      <c r="E355" s="83" t="s">
        <v>1035</v>
      </c>
      <c r="F355" s="49" t="s">
        <v>1036</v>
      </c>
      <c r="G355" s="92"/>
      <c r="H355" s="85"/>
      <c r="I355" s="85"/>
      <c r="J355" s="85"/>
      <c r="K355" s="93"/>
      <c r="L355" s="93"/>
      <c r="M355" s="81"/>
      <c r="N355" s="81"/>
      <c r="O355" s="90"/>
      <c r="P355" s="95"/>
      <c r="Q355" s="81"/>
      <c r="R355" s="95"/>
      <c r="S355" s="81"/>
      <c r="T355" s="95"/>
      <c r="U355" s="81"/>
      <c r="V355" s="95"/>
      <c r="W355" s="81"/>
      <c r="X355" s="95"/>
      <c r="Y355" s="81"/>
      <c r="Z355" s="95"/>
      <c r="AA355" s="81"/>
      <c r="AB355" s="95"/>
      <c r="AC355" s="81"/>
      <c r="AD355" s="95"/>
      <c r="AE355" s="81"/>
      <c r="AF355" s="95"/>
      <c r="AG355" s="81"/>
      <c r="AH355" s="95"/>
      <c r="AI355" s="81"/>
      <c r="AJ355" s="95"/>
      <c r="AK355" s="81"/>
      <c r="AL355" s="95"/>
      <c r="AM355" s="81"/>
    </row>
    <row collapsed="false" customFormat="false" customHeight="true" hidden="false" ht="16.2" outlineLevel="0" r="356">
      <c r="A356" s="80"/>
      <c r="B356" s="101"/>
      <c r="C356" s="85"/>
      <c r="D356" s="92"/>
      <c r="E356" s="83" t="s">
        <v>1037</v>
      </c>
      <c r="F356" s="49" t="s">
        <v>1036</v>
      </c>
      <c r="G356" s="85" t="s">
        <v>1057</v>
      </c>
      <c r="H356" s="85" t="n">
        <v>8</v>
      </c>
      <c r="I356" s="85" t="s">
        <v>1046</v>
      </c>
      <c r="J356" s="85" t="n">
        <v>2</v>
      </c>
      <c r="K356" s="93" t="s">
        <v>53</v>
      </c>
      <c r="L356" s="93" t="s">
        <v>53</v>
      </c>
      <c r="M356" s="81" t="n">
        <v>1811</v>
      </c>
      <c r="N356" s="81" t="n">
        <v>1183</v>
      </c>
      <c r="O356" s="90" t="n">
        <v>182</v>
      </c>
      <c r="P356" s="95" t="s">
        <v>1005</v>
      </c>
      <c r="Q356" s="81" t="n">
        <v>173</v>
      </c>
      <c r="R356" s="95" t="s">
        <v>1005</v>
      </c>
      <c r="S356" s="81" t="n">
        <v>77</v>
      </c>
      <c r="T356" s="95" t="s">
        <v>1005</v>
      </c>
      <c r="U356" s="81" t="n">
        <v>71</v>
      </c>
      <c r="V356" s="95" t="s">
        <v>1005</v>
      </c>
      <c r="W356" s="81" t="n">
        <v>49</v>
      </c>
      <c r="X356" s="95" t="s">
        <v>1005</v>
      </c>
      <c r="Y356" s="81" t="n">
        <v>24</v>
      </c>
      <c r="Z356" s="95" t="s">
        <v>1005</v>
      </c>
      <c r="AA356" s="81" t="n">
        <v>4</v>
      </c>
      <c r="AB356" s="95" t="s">
        <v>1005</v>
      </c>
      <c r="AC356" s="81" t="n">
        <v>2</v>
      </c>
      <c r="AD356" s="95" t="s">
        <v>1005</v>
      </c>
      <c r="AE356" s="81" t="n">
        <v>48</v>
      </c>
      <c r="AF356" s="95" t="s">
        <v>1005</v>
      </c>
      <c r="AG356" s="81" t="n">
        <v>112</v>
      </c>
      <c r="AH356" s="95" t="s">
        <v>1005</v>
      </c>
      <c r="AI356" s="81" t="n">
        <v>151</v>
      </c>
      <c r="AJ356" s="95" t="s">
        <v>1005</v>
      </c>
      <c r="AK356" s="81" t="n">
        <v>144</v>
      </c>
      <c r="AL356" s="95" t="s">
        <v>1005</v>
      </c>
      <c r="AM356" s="81" t="n">
        <f aca="false">O356+Q356+S356+U356+W356+Y356+AA356+AC356+AE356+AG356+AI356+AK356</f>
        <v>1037</v>
      </c>
    </row>
    <row collapsed="false" customFormat="false" customHeight="true" hidden="false" ht="16.2" outlineLevel="0" r="357">
      <c r="A357" s="80" t="n">
        <v>179</v>
      </c>
      <c r="B357" s="100" t="s">
        <v>298</v>
      </c>
      <c r="C357" s="82" t="s">
        <v>1033</v>
      </c>
      <c r="D357" s="92" t="s">
        <v>1056</v>
      </c>
      <c r="E357" s="83" t="s">
        <v>1035</v>
      </c>
      <c r="F357" s="49" t="s">
        <v>1036</v>
      </c>
      <c r="G357" s="92"/>
      <c r="H357" s="85"/>
      <c r="I357" s="85"/>
      <c r="J357" s="85"/>
      <c r="K357" s="93"/>
      <c r="L357" s="93"/>
      <c r="M357" s="81"/>
      <c r="N357" s="81"/>
      <c r="O357" s="90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  <c r="AL357" s="95"/>
      <c r="AM357" s="81"/>
    </row>
    <row collapsed="false" customFormat="false" customHeight="true" hidden="false" ht="16.2" outlineLevel="0" r="358">
      <c r="A358" s="80"/>
      <c r="B358" s="101"/>
      <c r="C358" s="85"/>
      <c r="D358" s="92"/>
      <c r="E358" s="83" t="s">
        <v>1037</v>
      </c>
      <c r="F358" s="49" t="s">
        <v>1036</v>
      </c>
      <c r="G358" s="85" t="s">
        <v>1057</v>
      </c>
      <c r="H358" s="85" t="n">
        <v>8</v>
      </c>
      <c r="I358" s="85" t="s">
        <v>1046</v>
      </c>
      <c r="J358" s="85" t="n">
        <v>2</v>
      </c>
      <c r="K358" s="93" t="s">
        <v>53</v>
      </c>
      <c r="L358" s="93" t="s">
        <v>53</v>
      </c>
      <c r="M358" s="81" t="n">
        <v>2456</v>
      </c>
      <c r="N358" s="81" t="n">
        <v>1560</v>
      </c>
      <c r="O358" s="90" t="n">
        <v>170</v>
      </c>
      <c r="P358" s="95" t="s">
        <v>1005</v>
      </c>
      <c r="Q358" s="81" t="n">
        <v>179</v>
      </c>
      <c r="R358" s="95" t="s">
        <v>1005</v>
      </c>
      <c r="S358" s="81" t="n">
        <v>95</v>
      </c>
      <c r="T358" s="95" t="s">
        <v>1005</v>
      </c>
      <c r="U358" s="81" t="n">
        <v>95</v>
      </c>
      <c r="V358" s="95" t="s">
        <v>1005</v>
      </c>
      <c r="W358" s="81" t="n">
        <v>76</v>
      </c>
      <c r="X358" s="95" t="s">
        <v>1005</v>
      </c>
      <c r="Y358" s="81" t="n">
        <v>33</v>
      </c>
      <c r="Z358" s="95" t="s">
        <v>1005</v>
      </c>
      <c r="AA358" s="81" t="n">
        <v>38</v>
      </c>
      <c r="AB358" s="95" t="s">
        <v>1005</v>
      </c>
      <c r="AC358" s="81" t="n">
        <v>53</v>
      </c>
      <c r="AD358" s="95" t="s">
        <v>1005</v>
      </c>
      <c r="AE358" s="81" t="n">
        <v>58</v>
      </c>
      <c r="AF358" s="95" t="s">
        <v>1005</v>
      </c>
      <c r="AG358" s="81" t="n">
        <v>88</v>
      </c>
      <c r="AH358" s="95" t="s">
        <v>1005</v>
      </c>
      <c r="AI358" s="81" t="n">
        <v>153</v>
      </c>
      <c r="AJ358" s="95" t="s">
        <v>1005</v>
      </c>
      <c r="AK358" s="81" t="n">
        <v>146</v>
      </c>
      <c r="AL358" s="95" t="s">
        <v>1005</v>
      </c>
      <c r="AM358" s="81" t="n">
        <f aca="false">O358+Q358+S358+U358+W358+Y358+AA358+AC358+AE358+AG358+AI358+AK358</f>
        <v>1184</v>
      </c>
    </row>
    <row collapsed="false" customFormat="false" customHeight="true" hidden="false" ht="16.2" outlineLevel="0" r="359">
      <c r="A359" s="80" t="n">
        <v>180</v>
      </c>
      <c r="B359" s="100" t="s">
        <v>299</v>
      </c>
      <c r="C359" s="82" t="s">
        <v>1033</v>
      </c>
      <c r="D359" s="92" t="s">
        <v>1056</v>
      </c>
      <c r="E359" s="83" t="s">
        <v>1035</v>
      </c>
      <c r="F359" s="49" t="s">
        <v>1036</v>
      </c>
      <c r="G359" s="92"/>
      <c r="H359" s="85"/>
      <c r="I359" s="85"/>
      <c r="J359" s="85"/>
      <c r="K359" s="93"/>
      <c r="L359" s="93"/>
      <c r="M359" s="81"/>
      <c r="N359" s="81"/>
      <c r="O359" s="90"/>
      <c r="P359" s="95"/>
      <c r="Q359" s="81"/>
      <c r="R359" s="95"/>
      <c r="S359" s="81"/>
      <c r="T359" s="95"/>
      <c r="U359" s="81"/>
      <c r="V359" s="95"/>
      <c r="W359" s="81"/>
      <c r="X359" s="95"/>
      <c r="Y359" s="81"/>
      <c r="Z359" s="95"/>
      <c r="AA359" s="81"/>
      <c r="AB359" s="95"/>
      <c r="AC359" s="81"/>
      <c r="AD359" s="95"/>
      <c r="AE359" s="81"/>
      <c r="AF359" s="95"/>
      <c r="AG359" s="81"/>
      <c r="AH359" s="95"/>
      <c r="AI359" s="81"/>
      <c r="AJ359" s="95"/>
      <c r="AK359" s="81"/>
      <c r="AL359" s="95"/>
      <c r="AM359" s="81"/>
    </row>
    <row collapsed="false" customFormat="false" customHeight="true" hidden="false" ht="16.2" outlineLevel="0" r="360">
      <c r="A360" s="80"/>
      <c r="B360" s="101"/>
      <c r="C360" s="85"/>
      <c r="D360" s="92"/>
      <c r="E360" s="83" t="s">
        <v>1037</v>
      </c>
      <c r="F360" s="49" t="s">
        <v>1036</v>
      </c>
      <c r="G360" s="85" t="s">
        <v>1057</v>
      </c>
      <c r="H360" s="85" t="n">
        <v>8</v>
      </c>
      <c r="I360" s="85" t="s">
        <v>1046</v>
      </c>
      <c r="J360" s="85" t="n">
        <v>2</v>
      </c>
      <c r="K360" s="93" t="s">
        <v>53</v>
      </c>
      <c r="L360" s="93" t="s">
        <v>53</v>
      </c>
      <c r="M360" s="81" t="n">
        <v>2715</v>
      </c>
      <c r="N360" s="81" t="n">
        <v>2547</v>
      </c>
      <c r="O360" s="90" t="n">
        <v>302</v>
      </c>
      <c r="P360" s="95" t="s">
        <v>1005</v>
      </c>
      <c r="Q360" s="81" t="n">
        <v>270</v>
      </c>
      <c r="R360" s="95" t="s">
        <v>1005</v>
      </c>
      <c r="S360" s="81" t="n">
        <v>174</v>
      </c>
      <c r="T360" s="95" t="s">
        <v>1005</v>
      </c>
      <c r="U360" s="81" t="n">
        <v>172</v>
      </c>
      <c r="V360" s="95" t="s">
        <v>1005</v>
      </c>
      <c r="W360" s="81" t="n">
        <v>125</v>
      </c>
      <c r="X360" s="95" t="s">
        <v>1005</v>
      </c>
      <c r="Y360" s="81" t="n">
        <v>99</v>
      </c>
      <c r="Z360" s="95" t="s">
        <v>1005</v>
      </c>
      <c r="AA360" s="81" t="n">
        <v>79</v>
      </c>
      <c r="AB360" s="95" t="s">
        <v>1005</v>
      </c>
      <c r="AC360" s="81" t="n">
        <v>135</v>
      </c>
      <c r="AD360" s="95" t="s">
        <v>1005</v>
      </c>
      <c r="AE360" s="81" t="n">
        <v>178</v>
      </c>
      <c r="AF360" s="95" t="s">
        <v>1005</v>
      </c>
      <c r="AG360" s="81" t="n">
        <v>206</v>
      </c>
      <c r="AH360" s="95" t="s">
        <v>1005</v>
      </c>
      <c r="AI360" s="81" t="n">
        <v>272</v>
      </c>
      <c r="AJ360" s="95" t="s">
        <v>1005</v>
      </c>
      <c r="AK360" s="81" t="n">
        <v>266</v>
      </c>
      <c r="AL360" s="95" t="s">
        <v>1005</v>
      </c>
      <c r="AM360" s="81" t="n">
        <f aca="false">O360+Q360+S360+U360+W360+Y360+AA360+AC360+AE360+AG360+AI360+AK360</f>
        <v>2278</v>
      </c>
    </row>
    <row collapsed="false" customFormat="false" customHeight="true" hidden="false" ht="16.2" outlineLevel="0" r="361">
      <c r="A361" s="80" t="n">
        <v>181</v>
      </c>
      <c r="B361" s="81" t="s">
        <v>301</v>
      </c>
      <c r="C361" s="82" t="s">
        <v>1033</v>
      </c>
      <c r="D361" s="82" t="s">
        <v>1034</v>
      </c>
      <c r="E361" s="83" t="s">
        <v>1035</v>
      </c>
      <c r="F361" s="84" t="s">
        <v>1036</v>
      </c>
      <c r="G361" s="85"/>
      <c r="H361" s="85"/>
      <c r="I361" s="85"/>
      <c r="J361" s="85"/>
      <c r="K361" s="86" t="s">
        <v>53</v>
      </c>
      <c r="L361" s="86" t="s">
        <v>53</v>
      </c>
      <c r="M361" s="90" t="n">
        <f aca="false">3359</f>
        <v>3359</v>
      </c>
      <c r="N361" s="90" t="n">
        <f aca="false">2740+460</f>
        <v>3200</v>
      </c>
      <c r="O361" s="90" t="n">
        <v>270</v>
      </c>
      <c r="P361" s="90"/>
      <c r="Q361" s="81" t="n">
        <v>310</v>
      </c>
      <c r="R361" s="81"/>
      <c r="S361" s="81" t="n">
        <v>230</v>
      </c>
      <c r="T361" s="81"/>
      <c r="U361" s="81" t="n">
        <v>310</v>
      </c>
      <c r="V361" s="81"/>
      <c r="W361" s="81"/>
      <c r="X361" s="81"/>
      <c r="Y361" s="81"/>
      <c r="Z361" s="81"/>
      <c r="AA361" s="81" t="n">
        <v>310</v>
      </c>
      <c r="AB361" s="81"/>
      <c r="AC361" s="81" t="n">
        <v>196</v>
      </c>
      <c r="AD361" s="81"/>
      <c r="AE361" s="90" t="n">
        <f aca="false">220+40</f>
        <v>260</v>
      </c>
      <c r="AF361" s="81"/>
      <c r="AG361" s="81" t="n">
        <f aca="false">200+40</f>
        <v>240</v>
      </c>
      <c r="AH361" s="81"/>
      <c r="AI361" s="81" t="n">
        <f aca="false">260+60</f>
        <v>320</v>
      </c>
      <c r="AJ361" s="81"/>
      <c r="AK361" s="81" t="n">
        <f aca="false">170+40</f>
        <v>210</v>
      </c>
      <c r="AL361" s="81"/>
      <c r="AM361" s="81" t="n">
        <f aca="false">O361+Q361+S361+U361+W361+Y361+AA361+AC361+AE361+AG361+AI361+AK361</f>
        <v>2656</v>
      </c>
    </row>
    <row collapsed="false" customFormat="false" customHeight="true" hidden="false" ht="16.2" outlineLevel="0" r="362">
      <c r="A362" s="80"/>
      <c r="B362" s="89"/>
      <c r="C362" s="85"/>
      <c r="D362" s="85"/>
      <c r="E362" s="83" t="s">
        <v>1037</v>
      </c>
      <c r="F362" s="84" t="s">
        <v>1036</v>
      </c>
      <c r="G362" s="85"/>
      <c r="H362" s="85"/>
      <c r="I362" s="85"/>
      <c r="J362" s="85"/>
      <c r="K362" s="86"/>
      <c r="L362" s="86"/>
      <c r="M362" s="90" t="n">
        <f aca="false">1075+87</f>
        <v>1162</v>
      </c>
      <c r="N362" s="91" t="n">
        <f aca="false">2316+1252</f>
        <v>3568</v>
      </c>
      <c r="O362" s="90" t="n">
        <v>334</v>
      </c>
      <c r="P362" s="90" t="s">
        <v>1005</v>
      </c>
      <c r="Q362" s="81" t="n">
        <v>414</v>
      </c>
      <c r="R362" s="90" t="s">
        <v>1005</v>
      </c>
      <c r="S362" s="81" t="n">
        <v>254</v>
      </c>
      <c r="T362" s="81" t="s">
        <v>1005</v>
      </c>
      <c r="U362" s="81" t="n">
        <v>329</v>
      </c>
      <c r="V362" s="81" t="s">
        <v>1005</v>
      </c>
      <c r="W362" s="81" t="n">
        <v>240</v>
      </c>
      <c r="X362" s="81" t="s">
        <v>1005</v>
      </c>
      <c r="Y362" s="81" t="n">
        <v>270</v>
      </c>
      <c r="Z362" s="81" t="s">
        <v>1005</v>
      </c>
      <c r="AA362" s="81" t="n">
        <v>251</v>
      </c>
      <c r="AB362" s="81" t="s">
        <v>1005</v>
      </c>
      <c r="AC362" s="81" t="n">
        <v>274</v>
      </c>
      <c r="AD362" s="81" t="s">
        <v>1005</v>
      </c>
      <c r="AE362" s="90" t="n">
        <f aca="false">95+122</f>
        <v>217</v>
      </c>
      <c r="AF362" s="81" t="s">
        <v>1005</v>
      </c>
      <c r="AG362" s="81" t="n">
        <f aca="false">109+166</f>
        <v>275</v>
      </c>
      <c r="AH362" s="81" t="s">
        <v>1005</v>
      </c>
      <c r="AI362" s="81" t="n">
        <f aca="false">182+241</f>
        <v>423</v>
      </c>
      <c r="AJ362" s="81" t="s">
        <v>1005</v>
      </c>
      <c r="AK362" s="81" t="n">
        <f aca="false">114+161</f>
        <v>275</v>
      </c>
      <c r="AL362" s="81" t="s">
        <v>1005</v>
      </c>
      <c r="AM362" s="81" t="n">
        <f aca="false">O362+Q362+S362+U362+W362+Y362+AA362+AC362+AE362+AG362+AI362+AK362</f>
        <v>3556</v>
      </c>
    </row>
    <row collapsed="false" customFormat="false" customHeight="true" hidden="false" ht="16.2" outlineLevel="0" r="363">
      <c r="A363" s="80" t="n">
        <v>182</v>
      </c>
      <c r="B363" s="81" t="s">
        <v>302</v>
      </c>
      <c r="C363" s="82" t="s">
        <v>1033</v>
      </c>
      <c r="D363" s="82" t="s">
        <v>1034</v>
      </c>
      <c r="E363" s="83" t="s">
        <v>1035</v>
      </c>
      <c r="F363" s="84" t="s">
        <v>1036</v>
      </c>
      <c r="G363" s="85"/>
      <c r="H363" s="85"/>
      <c r="I363" s="85"/>
      <c r="J363" s="85"/>
      <c r="K363" s="86" t="s">
        <v>53</v>
      </c>
      <c r="L363" s="86" t="s">
        <v>53</v>
      </c>
      <c r="M363" s="90" t="n">
        <f aca="false">2737+1373</f>
        <v>4110</v>
      </c>
      <c r="N363" s="90" t="n">
        <f aca="false">1987+419</f>
        <v>2406</v>
      </c>
      <c r="O363" s="90" t="n">
        <v>170</v>
      </c>
      <c r="P363" s="90"/>
      <c r="Q363" s="81" t="n">
        <v>214</v>
      </c>
      <c r="R363" s="81"/>
      <c r="S363" s="81" t="n">
        <v>149</v>
      </c>
      <c r="T363" s="81"/>
      <c r="U363" s="81" t="n">
        <v>210</v>
      </c>
      <c r="V363" s="81"/>
      <c r="W363" s="81" t="n">
        <v>193</v>
      </c>
      <c r="X363" s="81"/>
      <c r="Y363" s="81" t="n">
        <v>174</v>
      </c>
      <c r="Z363" s="81"/>
      <c r="AA363" s="81" t="n">
        <v>171</v>
      </c>
      <c r="AB363" s="81"/>
      <c r="AC363" s="81" t="n">
        <v>196</v>
      </c>
      <c r="AD363" s="81"/>
      <c r="AE363" s="90" t="n">
        <f aca="false">176+33</f>
        <v>209</v>
      </c>
      <c r="AF363" s="81"/>
      <c r="AG363" s="81" t="n">
        <f aca="false">159+32</f>
        <v>191</v>
      </c>
      <c r="AH363" s="81"/>
      <c r="AI363" s="81" t="n">
        <f aca="false">198+43</f>
        <v>241</v>
      </c>
      <c r="AJ363" s="81"/>
      <c r="AK363" s="81" t="n">
        <f aca="false">138+34</f>
        <v>172</v>
      </c>
      <c r="AL363" s="81"/>
      <c r="AM363" s="81" t="n">
        <f aca="false">O363+Q363+S363+U363+W363+Y363+AA363+AC363+AE363+AG363+AI363+AK363</f>
        <v>2290</v>
      </c>
    </row>
    <row collapsed="false" customFormat="false" customHeight="true" hidden="false" ht="16.2" outlineLevel="0" r="364">
      <c r="A364" s="80"/>
      <c r="B364" s="89"/>
      <c r="C364" s="85"/>
      <c r="D364" s="85"/>
      <c r="E364" s="83" t="s">
        <v>1037</v>
      </c>
      <c r="F364" s="84" t="s">
        <v>1036</v>
      </c>
      <c r="G364" s="85"/>
      <c r="H364" s="85"/>
      <c r="I364" s="85"/>
      <c r="J364" s="85"/>
      <c r="K364" s="86"/>
      <c r="L364" s="86"/>
      <c r="M364" s="90" t="n">
        <f aca="false">790+201</f>
        <v>991</v>
      </c>
      <c r="N364" s="90" t="n">
        <f aca="false">2893+1535</f>
        <v>4428</v>
      </c>
      <c r="O364" s="90" t="n">
        <v>282</v>
      </c>
      <c r="P364" s="90" t="s">
        <v>1005</v>
      </c>
      <c r="Q364" s="81" t="n">
        <v>377</v>
      </c>
      <c r="R364" s="90" t="s">
        <v>1005</v>
      </c>
      <c r="S364" s="81" t="n">
        <v>252</v>
      </c>
      <c r="T364" s="81" t="s">
        <v>1005</v>
      </c>
      <c r="U364" s="81" t="n">
        <v>329</v>
      </c>
      <c r="V364" s="81" t="s">
        <v>1005</v>
      </c>
      <c r="W364" s="81" t="n">
        <v>321</v>
      </c>
      <c r="X364" s="81" t="s">
        <v>1005</v>
      </c>
      <c r="Y364" s="81" t="n">
        <v>203</v>
      </c>
      <c r="Z364" s="81" t="s">
        <v>1005</v>
      </c>
      <c r="AA364" s="81" t="n">
        <v>263</v>
      </c>
      <c r="AB364" s="81" t="s">
        <v>1005</v>
      </c>
      <c r="AC364" s="81" t="n">
        <v>360</v>
      </c>
      <c r="AD364" s="81" t="s">
        <v>1005</v>
      </c>
      <c r="AE364" s="90" t="n">
        <f aca="false">200+144</f>
        <v>344</v>
      </c>
      <c r="AF364" s="81" t="s">
        <v>1005</v>
      </c>
      <c r="AG364" s="81" t="n">
        <f aca="false">285+157</f>
        <v>442</v>
      </c>
      <c r="AH364" s="81" t="s">
        <v>1005</v>
      </c>
      <c r="AI364" s="81" t="n">
        <f aca="false">197+142</f>
        <v>339</v>
      </c>
      <c r="AJ364" s="81" t="s">
        <v>1005</v>
      </c>
      <c r="AK364" s="81" t="n">
        <f aca="false">174+104</f>
        <v>278</v>
      </c>
      <c r="AL364" s="81" t="s">
        <v>1005</v>
      </c>
      <c r="AM364" s="81" t="n">
        <f aca="false">O364+Q364+S364+U364+W364+Y364+AA364+AC364+AE364+AG364+AI364+AK364</f>
        <v>3790</v>
      </c>
    </row>
    <row collapsed="false" customFormat="false" customHeight="true" hidden="false" ht="16.2" outlineLevel="0" r="365">
      <c r="A365" s="80" t="n">
        <v>183</v>
      </c>
      <c r="B365" s="81" t="s">
        <v>303</v>
      </c>
      <c r="C365" s="82" t="s">
        <v>1033</v>
      </c>
      <c r="D365" s="82" t="s">
        <v>1034</v>
      </c>
      <c r="E365" s="83" t="s">
        <v>1035</v>
      </c>
      <c r="F365" s="84" t="s">
        <v>1036</v>
      </c>
      <c r="G365" s="85"/>
      <c r="H365" s="85"/>
      <c r="I365" s="85"/>
      <c r="J365" s="85"/>
      <c r="K365" s="86" t="s">
        <v>53</v>
      </c>
      <c r="L365" s="86" t="s">
        <v>53</v>
      </c>
      <c r="M365" s="90"/>
      <c r="N365" s="90"/>
      <c r="O365" s="90"/>
      <c r="P365" s="90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90"/>
      <c r="AF365" s="81"/>
      <c r="AG365" s="81"/>
      <c r="AH365" s="81"/>
      <c r="AI365" s="81"/>
      <c r="AJ365" s="81"/>
      <c r="AK365" s="81"/>
      <c r="AL365" s="81"/>
      <c r="AM365" s="81" t="n">
        <f aca="false">O365+Q365+S365+U365+W365+Y365+AA365+AC365+AE365+AG365+AI365+AK365</f>
        <v>0</v>
      </c>
    </row>
    <row collapsed="false" customFormat="false" customHeight="true" hidden="false" ht="16.2" outlineLevel="0" r="366">
      <c r="A366" s="80"/>
      <c r="B366" s="89"/>
      <c r="C366" s="85"/>
      <c r="D366" s="85"/>
      <c r="E366" s="83" t="s">
        <v>1037</v>
      </c>
      <c r="F366" s="84" t="s">
        <v>1036</v>
      </c>
      <c r="G366" s="85"/>
      <c r="H366" s="85"/>
      <c r="I366" s="85"/>
      <c r="J366" s="85"/>
      <c r="K366" s="86"/>
      <c r="L366" s="86"/>
      <c r="M366" s="90" t="n">
        <f aca="false">5564+4075+10280</f>
        <v>19919</v>
      </c>
      <c r="N366" s="91" t="n">
        <f aca="false">3219+2938+3949+4816</f>
        <v>14922</v>
      </c>
      <c r="O366" s="90" t="n">
        <v>3741</v>
      </c>
      <c r="P366" s="90" t="s">
        <v>1061</v>
      </c>
      <c r="Q366" s="81" t="n">
        <v>2457</v>
      </c>
      <c r="R366" s="81" t="s">
        <v>1061</v>
      </c>
      <c r="S366" s="81" t="n">
        <v>2175</v>
      </c>
      <c r="T366" s="81" t="s">
        <v>1061</v>
      </c>
      <c r="U366" s="103" t="n">
        <v>2175</v>
      </c>
      <c r="V366" s="81" t="s">
        <v>1005</v>
      </c>
      <c r="W366" s="103" t="n">
        <v>1182</v>
      </c>
      <c r="X366" s="81" t="s">
        <v>1005</v>
      </c>
      <c r="Y366" s="81" t="n">
        <v>174</v>
      </c>
      <c r="Z366" s="81" t="s">
        <v>1005</v>
      </c>
      <c r="AA366" s="81" t="n">
        <v>541</v>
      </c>
      <c r="AB366" s="81" t="s">
        <v>1005</v>
      </c>
      <c r="AC366" s="81" t="n">
        <v>923</v>
      </c>
      <c r="AD366" s="81" t="s">
        <v>1005</v>
      </c>
      <c r="AE366" s="90" t="n">
        <f aca="false">385+404+301+396</f>
        <v>1486</v>
      </c>
      <c r="AF366" s="81" t="s">
        <v>1005</v>
      </c>
      <c r="AG366" s="81" t="n">
        <f aca="false">439+439+527+580</f>
        <v>1985</v>
      </c>
      <c r="AH366" s="81" t="s">
        <v>1005</v>
      </c>
      <c r="AI366" s="81" t="n">
        <f aca="false">655+535+549+508</f>
        <v>2247</v>
      </c>
      <c r="AJ366" s="81" t="s">
        <v>1005</v>
      </c>
      <c r="AK366" s="81" t="n">
        <f aca="false">432+317+346+302</f>
        <v>1397</v>
      </c>
      <c r="AL366" s="81" t="s">
        <v>1005</v>
      </c>
      <c r="AM366" s="103" t="n">
        <f aca="false">O366+Q366+S366+U366+W366+Y366+AA366+AC366+AE366+AG366+AI366+AK366</f>
        <v>20483</v>
      </c>
    </row>
    <row collapsed="false" customFormat="false" customHeight="true" hidden="false" ht="16.2" outlineLevel="0" r="367">
      <c r="A367" s="80" t="n">
        <v>184</v>
      </c>
      <c r="B367" s="81" t="s">
        <v>304</v>
      </c>
      <c r="C367" s="82" t="s">
        <v>1033</v>
      </c>
      <c r="D367" s="82" t="s">
        <v>1034</v>
      </c>
      <c r="E367" s="83" t="s">
        <v>1035</v>
      </c>
      <c r="F367" s="84" t="s">
        <v>1036</v>
      </c>
      <c r="G367" s="85"/>
      <c r="H367" s="85"/>
      <c r="I367" s="85"/>
      <c r="J367" s="85"/>
      <c r="K367" s="86" t="s">
        <v>53</v>
      </c>
      <c r="L367" s="86" t="s">
        <v>53</v>
      </c>
      <c r="M367" s="90"/>
      <c r="N367" s="90"/>
      <c r="O367" s="90"/>
      <c r="P367" s="90"/>
      <c r="Q367" s="81"/>
      <c r="R367" s="90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90"/>
      <c r="AF367" s="81"/>
      <c r="AG367" s="81"/>
      <c r="AH367" s="81"/>
      <c r="AI367" s="81"/>
      <c r="AJ367" s="81"/>
      <c r="AK367" s="81"/>
      <c r="AL367" s="81"/>
      <c r="AM367" s="81" t="n">
        <f aca="false">O367+Q367+S367+U367+W367+Y367+AA367+AC367+AE367+AG367+AI367+AK367</f>
        <v>0</v>
      </c>
    </row>
    <row collapsed="false" customFormat="false" customHeight="true" hidden="false" ht="16.2" outlineLevel="0" r="368">
      <c r="A368" s="80"/>
      <c r="B368" s="89"/>
      <c r="C368" s="85"/>
      <c r="D368" s="85"/>
      <c r="E368" s="83" t="s">
        <v>1037</v>
      </c>
      <c r="F368" s="84" t="s">
        <v>1036</v>
      </c>
      <c r="G368" s="85"/>
      <c r="H368" s="85"/>
      <c r="I368" s="85"/>
      <c r="J368" s="85"/>
      <c r="K368" s="86"/>
      <c r="L368" s="86"/>
      <c r="M368" s="90" t="n">
        <f aca="false">2602+1882+30+73</f>
        <v>4587</v>
      </c>
      <c r="N368" s="91" t="n">
        <f aca="false">2379+2498</f>
        <v>4877</v>
      </c>
      <c r="O368" s="90" t="n">
        <v>562</v>
      </c>
      <c r="P368" s="90" t="s">
        <v>1005</v>
      </c>
      <c r="Q368" s="81" t="n">
        <v>646</v>
      </c>
      <c r="R368" s="90" t="s">
        <v>1005</v>
      </c>
      <c r="S368" s="81" t="n">
        <v>362</v>
      </c>
      <c r="T368" s="81" t="s">
        <v>1005</v>
      </c>
      <c r="U368" s="81" t="n">
        <v>365</v>
      </c>
      <c r="V368" s="81" t="s">
        <v>1005</v>
      </c>
      <c r="W368" s="81" t="n">
        <v>293</v>
      </c>
      <c r="X368" s="81" t="s">
        <v>1005</v>
      </c>
      <c r="Y368" s="81" t="n">
        <v>51</v>
      </c>
      <c r="Z368" s="81" t="s">
        <v>1005</v>
      </c>
      <c r="AA368" s="81" t="n">
        <v>161</v>
      </c>
      <c r="AB368" s="81" t="s">
        <v>1005</v>
      </c>
      <c r="AC368" s="81" t="n">
        <v>397</v>
      </c>
      <c r="AD368" s="81" t="s">
        <v>1005</v>
      </c>
      <c r="AE368" s="90" t="n">
        <f aca="false">177+265</f>
        <v>442</v>
      </c>
      <c r="AF368" s="81" t="s">
        <v>1005</v>
      </c>
      <c r="AG368" s="81" t="n">
        <f aca="false">206+231</f>
        <v>437</v>
      </c>
      <c r="AH368" s="81" t="s">
        <v>1005</v>
      </c>
      <c r="AI368" s="81" t="n">
        <f aca="false">384+314</f>
        <v>698</v>
      </c>
      <c r="AJ368" s="81" t="s">
        <v>1005</v>
      </c>
      <c r="AK368" s="81" t="n">
        <f aca="false">323+222</f>
        <v>545</v>
      </c>
      <c r="AL368" s="81" t="s">
        <v>1005</v>
      </c>
      <c r="AM368" s="81" t="n">
        <f aca="false">O368+Q368+S368+U368+W368+Y368+AA368+AC368+AE368+AG368+AI368+AK368</f>
        <v>4959</v>
      </c>
    </row>
    <row collapsed="false" customFormat="false" customHeight="true" hidden="false" ht="16.2" outlineLevel="0" r="369">
      <c r="A369" s="80" t="n">
        <v>185</v>
      </c>
      <c r="B369" s="81" t="s">
        <v>305</v>
      </c>
      <c r="C369" s="82" t="s">
        <v>1033</v>
      </c>
      <c r="D369" s="82" t="s">
        <v>1034</v>
      </c>
      <c r="E369" s="83" t="s">
        <v>1035</v>
      </c>
      <c r="F369" s="84" t="s">
        <v>1036</v>
      </c>
      <c r="G369" s="85"/>
      <c r="H369" s="85"/>
      <c r="I369" s="85"/>
      <c r="J369" s="85"/>
      <c r="K369" s="86" t="s">
        <v>53</v>
      </c>
      <c r="L369" s="86" t="s">
        <v>53</v>
      </c>
      <c r="M369" s="90"/>
      <c r="N369" s="90"/>
      <c r="O369" s="90"/>
      <c r="P369" s="90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90"/>
      <c r="AF369" s="81"/>
      <c r="AG369" s="81"/>
      <c r="AH369" s="81"/>
      <c r="AI369" s="81"/>
      <c r="AJ369" s="81"/>
      <c r="AK369" s="81"/>
      <c r="AL369" s="81"/>
      <c r="AM369" s="81" t="n">
        <f aca="false">O369+Q369+S369+U369+W369+Y369+AA369+AC369+AE369+AG369+AI369+AK369</f>
        <v>0</v>
      </c>
    </row>
    <row collapsed="false" customFormat="false" customHeight="true" hidden="false" ht="16.2" outlineLevel="0" r="370">
      <c r="A370" s="80"/>
      <c r="B370" s="89"/>
      <c r="C370" s="85"/>
      <c r="D370" s="85"/>
      <c r="E370" s="83" t="s">
        <v>1037</v>
      </c>
      <c r="F370" s="84" t="s">
        <v>1036</v>
      </c>
      <c r="G370" s="85"/>
      <c r="H370" s="85"/>
      <c r="I370" s="85"/>
      <c r="J370" s="85"/>
      <c r="K370" s="86"/>
      <c r="L370" s="86"/>
      <c r="M370" s="90" t="n">
        <f aca="false">1691+1555+26+51</f>
        <v>3323</v>
      </c>
      <c r="N370" s="91" t="n">
        <f aca="false">1796+1888</f>
        <v>3684</v>
      </c>
      <c r="O370" s="90" t="n">
        <v>380</v>
      </c>
      <c r="P370" s="90" t="s">
        <v>1005</v>
      </c>
      <c r="Q370" s="81" t="n">
        <v>470</v>
      </c>
      <c r="R370" s="90" t="s">
        <v>1005</v>
      </c>
      <c r="S370" s="81" t="n">
        <v>277</v>
      </c>
      <c r="T370" s="81" t="s">
        <v>1005</v>
      </c>
      <c r="U370" s="81" t="n">
        <v>270</v>
      </c>
      <c r="V370" s="81" t="s">
        <v>1005</v>
      </c>
      <c r="W370" s="81" t="n">
        <v>184</v>
      </c>
      <c r="X370" s="81" t="s">
        <v>1005</v>
      </c>
      <c r="Y370" s="81" t="n">
        <v>141</v>
      </c>
      <c r="Z370" s="81" t="s">
        <v>1005</v>
      </c>
      <c r="AA370" s="81" t="n">
        <v>175</v>
      </c>
      <c r="AB370" s="81" t="s">
        <v>1005</v>
      </c>
      <c r="AC370" s="81" t="n">
        <v>236</v>
      </c>
      <c r="AD370" s="81" t="s">
        <v>1005</v>
      </c>
      <c r="AE370" s="90" t="n">
        <f aca="false">100+149</f>
        <v>249</v>
      </c>
      <c r="AF370" s="81" t="s">
        <v>1005</v>
      </c>
      <c r="AG370" s="81" t="n">
        <f aca="false">149+146</f>
        <v>295</v>
      </c>
      <c r="AH370" s="81" t="s">
        <v>1005</v>
      </c>
      <c r="AI370" s="81" t="n">
        <f aca="false">235+182</f>
        <v>417</v>
      </c>
      <c r="AJ370" s="81" t="s">
        <v>1005</v>
      </c>
      <c r="AK370" s="81" t="n">
        <f aca="false">281+172</f>
        <v>453</v>
      </c>
      <c r="AL370" s="81" t="s">
        <v>1005</v>
      </c>
      <c r="AM370" s="81" t="n">
        <f aca="false">O370+Q370+S370+U370+W370+Y370+AA370+AC370+AE370+AG370+AI370+AK370</f>
        <v>3547</v>
      </c>
    </row>
    <row collapsed="false" customFormat="false" customHeight="true" hidden="false" ht="16.2" outlineLevel="0" r="371">
      <c r="A371" s="80" t="n">
        <v>186</v>
      </c>
      <c r="B371" s="81" t="s">
        <v>306</v>
      </c>
      <c r="C371" s="82" t="s">
        <v>1033</v>
      </c>
      <c r="D371" s="82" t="s">
        <v>1034</v>
      </c>
      <c r="E371" s="83" t="s">
        <v>1035</v>
      </c>
      <c r="F371" s="84" t="s">
        <v>1036</v>
      </c>
      <c r="G371" s="85"/>
      <c r="H371" s="85"/>
      <c r="I371" s="85"/>
      <c r="J371" s="85"/>
      <c r="K371" s="86" t="s">
        <v>53</v>
      </c>
      <c r="L371" s="86" t="s">
        <v>53</v>
      </c>
      <c r="M371" s="90"/>
      <c r="N371" s="90"/>
      <c r="O371" s="90"/>
      <c r="P371" s="90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90"/>
      <c r="AF371" s="81"/>
      <c r="AG371" s="81"/>
      <c r="AH371" s="81"/>
      <c r="AI371" s="81"/>
      <c r="AJ371" s="81"/>
      <c r="AK371" s="81"/>
      <c r="AL371" s="81"/>
      <c r="AM371" s="81" t="n">
        <f aca="false">O371+Q371+S371+U371+W371+Y371+AA371+AC371+AE371+AG371+AI371+AK371</f>
        <v>0</v>
      </c>
    </row>
    <row collapsed="false" customFormat="false" customHeight="true" hidden="false" ht="16.2" outlineLevel="0" r="372">
      <c r="A372" s="80"/>
      <c r="B372" s="89"/>
      <c r="C372" s="85"/>
      <c r="D372" s="85"/>
      <c r="E372" s="83" t="s">
        <v>1037</v>
      </c>
      <c r="F372" s="84" t="s">
        <v>1036</v>
      </c>
      <c r="G372" s="85"/>
      <c r="H372" s="85"/>
      <c r="I372" s="85"/>
      <c r="J372" s="85"/>
      <c r="K372" s="86"/>
      <c r="L372" s="86"/>
      <c r="M372" s="90" t="n">
        <f aca="false">3699+3545</f>
        <v>7244</v>
      </c>
      <c r="N372" s="91" t="n">
        <f aca="false">3416+3565</f>
        <v>6981</v>
      </c>
      <c r="O372" s="90" t="n">
        <v>744</v>
      </c>
      <c r="P372" s="90" t="s">
        <v>1005</v>
      </c>
      <c r="Q372" s="81" t="n">
        <v>766</v>
      </c>
      <c r="R372" s="90" t="s">
        <v>1005</v>
      </c>
      <c r="S372" s="81" t="n">
        <v>434</v>
      </c>
      <c r="T372" s="81" t="s">
        <v>1005</v>
      </c>
      <c r="U372" s="81" t="n">
        <v>459</v>
      </c>
      <c r="V372" s="81" t="s">
        <v>1005</v>
      </c>
      <c r="W372" s="81" t="n">
        <v>315</v>
      </c>
      <c r="X372" s="81" t="s">
        <v>1005</v>
      </c>
      <c r="Y372" s="81" t="n">
        <v>193</v>
      </c>
      <c r="Z372" s="81" t="s">
        <v>1005</v>
      </c>
      <c r="AA372" s="81" t="n">
        <v>314</v>
      </c>
      <c r="AB372" s="81" t="s">
        <v>1005</v>
      </c>
      <c r="AC372" s="81" t="n">
        <v>404</v>
      </c>
      <c r="AD372" s="81" t="s">
        <v>1005</v>
      </c>
      <c r="AE372" s="90" t="n">
        <f aca="false">134+221</f>
        <v>355</v>
      </c>
      <c r="AF372" s="81" t="s">
        <v>1005</v>
      </c>
      <c r="AG372" s="81" t="n">
        <f aca="false">181+215</f>
        <v>396</v>
      </c>
      <c r="AH372" s="81" t="s">
        <v>1005</v>
      </c>
      <c r="AI372" s="81" t="n">
        <f aca="false">392+324</f>
        <v>716</v>
      </c>
      <c r="AJ372" s="81" t="s">
        <v>1005</v>
      </c>
      <c r="AK372" s="81" t="n">
        <f aca="false">289+215</f>
        <v>504</v>
      </c>
      <c r="AL372" s="81" t="s">
        <v>1005</v>
      </c>
      <c r="AM372" s="81" t="n">
        <f aca="false">O372+Q372+S372+U372+W372+Y372+AA372+AC372+AE372+AG372+AI372+AK372</f>
        <v>5600</v>
      </c>
    </row>
    <row collapsed="false" customFormat="false" customHeight="true" hidden="false" ht="16.2" outlineLevel="0" r="373">
      <c r="A373" s="80" t="n">
        <v>187</v>
      </c>
      <c r="B373" s="81"/>
      <c r="C373" s="82" t="s">
        <v>1033</v>
      </c>
      <c r="D373" s="85"/>
      <c r="E373" s="83" t="s">
        <v>1035</v>
      </c>
      <c r="F373" s="49" t="s">
        <v>1036</v>
      </c>
      <c r="G373" s="85"/>
      <c r="H373" s="85"/>
      <c r="I373" s="85"/>
      <c r="J373" s="85"/>
      <c r="K373" s="85"/>
      <c r="L373" s="85"/>
      <c r="M373" s="81"/>
      <c r="N373" s="81"/>
      <c r="O373" s="96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81"/>
    </row>
    <row collapsed="false" customFormat="false" customHeight="true" hidden="false" ht="16.2" outlineLevel="0" r="374">
      <c r="A374" s="80"/>
      <c r="B374" s="81" t="s">
        <v>308</v>
      </c>
      <c r="C374" s="85"/>
      <c r="D374" s="85" t="s">
        <v>1054</v>
      </c>
      <c r="E374" s="83" t="s">
        <v>1037</v>
      </c>
      <c r="F374" s="49" t="s">
        <v>1036</v>
      </c>
      <c r="G374" s="85" t="s">
        <v>1039</v>
      </c>
      <c r="H374" s="85" t="n">
        <v>12</v>
      </c>
      <c r="I374" s="85" t="s">
        <v>1039</v>
      </c>
      <c r="J374" s="85" t="n">
        <v>3</v>
      </c>
      <c r="K374" s="85" t="s">
        <v>1041</v>
      </c>
      <c r="L374" s="85" t="s">
        <v>1041</v>
      </c>
      <c r="M374" s="81" t="n">
        <v>1476</v>
      </c>
      <c r="N374" s="81"/>
      <c r="O374" s="96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  <c r="AK374" s="81"/>
      <c r="AL374" s="81"/>
      <c r="AM374" s="81"/>
    </row>
    <row collapsed="false" customFormat="false" customHeight="true" hidden="false" ht="16.2" outlineLevel="0" r="375">
      <c r="A375" s="80" t="n">
        <v>188</v>
      </c>
      <c r="B375" s="81"/>
      <c r="C375" s="82" t="s">
        <v>1033</v>
      </c>
      <c r="D375" s="85"/>
      <c r="E375" s="83" t="s">
        <v>1035</v>
      </c>
      <c r="F375" s="49" t="s">
        <v>1036</v>
      </c>
      <c r="G375" s="85"/>
      <c r="H375" s="85"/>
      <c r="I375" s="85"/>
      <c r="J375" s="85"/>
      <c r="K375" s="85"/>
      <c r="L375" s="85"/>
      <c r="M375" s="81"/>
      <c r="N375" s="81"/>
      <c r="O375" s="96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81"/>
    </row>
    <row collapsed="false" customFormat="false" customHeight="true" hidden="false" ht="16.2" outlineLevel="0" r="376">
      <c r="A376" s="80"/>
      <c r="B376" s="81" t="s">
        <v>309</v>
      </c>
      <c r="C376" s="85"/>
      <c r="D376" s="85" t="s">
        <v>1054</v>
      </c>
      <c r="E376" s="83" t="s">
        <v>1037</v>
      </c>
      <c r="F376" s="49" t="s">
        <v>1036</v>
      </c>
      <c r="G376" s="85" t="s">
        <v>1042</v>
      </c>
      <c r="H376" s="85" t="n">
        <v>42</v>
      </c>
      <c r="I376" s="85" t="s">
        <v>1050</v>
      </c>
      <c r="J376" s="85" t="n">
        <v>3</v>
      </c>
      <c r="K376" s="85" t="s">
        <v>1041</v>
      </c>
      <c r="L376" s="85" t="s">
        <v>1041</v>
      </c>
      <c r="M376" s="81" t="n">
        <v>6870</v>
      </c>
      <c r="N376" s="81"/>
      <c r="O376" s="96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  <c r="AJ376" s="81"/>
      <c r="AK376" s="81"/>
      <c r="AL376" s="81"/>
      <c r="AM376" s="81"/>
    </row>
    <row collapsed="false" customFormat="false" customHeight="true" hidden="false" ht="16.2" outlineLevel="0" r="377">
      <c r="A377" s="80" t="n">
        <v>189</v>
      </c>
      <c r="B377" s="81"/>
      <c r="C377" s="82" t="s">
        <v>1033</v>
      </c>
      <c r="D377" s="85"/>
      <c r="E377" s="83" t="s">
        <v>1035</v>
      </c>
      <c r="F377" s="49" t="s">
        <v>1036</v>
      </c>
      <c r="G377" s="85"/>
      <c r="H377" s="85"/>
      <c r="I377" s="85"/>
      <c r="J377" s="85"/>
      <c r="K377" s="85"/>
      <c r="L377" s="85"/>
      <c r="M377" s="81"/>
      <c r="N377" s="81"/>
      <c r="O377" s="96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  <c r="AJ377" s="81"/>
      <c r="AK377" s="81"/>
      <c r="AL377" s="81"/>
      <c r="AM377" s="81"/>
    </row>
    <row collapsed="false" customFormat="false" customHeight="true" hidden="false" ht="16.2" outlineLevel="0" r="378">
      <c r="A378" s="80"/>
      <c r="B378" s="81" t="s">
        <v>310</v>
      </c>
      <c r="C378" s="85"/>
      <c r="D378" s="85" t="s">
        <v>1054</v>
      </c>
      <c r="E378" s="83" t="s">
        <v>1037</v>
      </c>
      <c r="F378" s="49" t="s">
        <v>1036</v>
      </c>
      <c r="G378" s="85" t="s">
        <v>1039</v>
      </c>
      <c r="H378" s="85" t="n">
        <v>12</v>
      </c>
      <c r="I378" s="85" t="s">
        <v>1050</v>
      </c>
      <c r="J378" s="85" t="n">
        <v>1</v>
      </c>
      <c r="K378" s="85" t="s">
        <v>1041</v>
      </c>
      <c r="L378" s="85" t="s">
        <v>1041</v>
      </c>
      <c r="M378" s="81" t="n">
        <v>3414</v>
      </c>
      <c r="N378" s="81"/>
      <c r="O378" s="96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  <c r="AJ378" s="81"/>
      <c r="AK378" s="81"/>
      <c r="AL378" s="81"/>
      <c r="AM378" s="81"/>
    </row>
    <row collapsed="false" customFormat="false" customHeight="true" hidden="false" ht="16.2" outlineLevel="0" r="379">
      <c r="A379" s="80" t="n">
        <v>190</v>
      </c>
      <c r="B379" s="81"/>
      <c r="C379" s="82" t="s">
        <v>1033</v>
      </c>
      <c r="D379" s="85"/>
      <c r="E379" s="83" t="s">
        <v>1035</v>
      </c>
      <c r="F379" s="49" t="s">
        <v>1036</v>
      </c>
      <c r="G379" s="85"/>
      <c r="H379" s="85"/>
      <c r="I379" s="85"/>
      <c r="J379" s="85"/>
      <c r="K379" s="85"/>
      <c r="L379" s="85"/>
      <c r="M379" s="81"/>
      <c r="N379" s="81"/>
      <c r="O379" s="96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</row>
    <row collapsed="false" customFormat="false" customHeight="true" hidden="false" ht="16.2" outlineLevel="0" r="380">
      <c r="A380" s="80"/>
      <c r="B380" s="81" t="s">
        <v>312</v>
      </c>
      <c r="C380" s="85"/>
      <c r="D380" s="85" t="s">
        <v>1054</v>
      </c>
      <c r="E380" s="83" t="s">
        <v>1037</v>
      </c>
      <c r="F380" s="49" t="s">
        <v>1036</v>
      </c>
      <c r="G380" s="85" t="s">
        <v>1039</v>
      </c>
      <c r="H380" s="85" t="n">
        <v>10</v>
      </c>
      <c r="I380" s="85" t="s">
        <v>1039</v>
      </c>
      <c r="J380" s="85" t="n">
        <v>2</v>
      </c>
      <c r="K380" s="85"/>
      <c r="L380" s="85" t="s">
        <v>1041</v>
      </c>
      <c r="M380" s="81" t="n">
        <v>1386</v>
      </c>
      <c r="N380" s="81"/>
      <c r="O380" s="96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  <c r="AJ380" s="81"/>
      <c r="AK380" s="81"/>
      <c r="AL380" s="81"/>
      <c r="AM380" s="81"/>
    </row>
    <row collapsed="false" customFormat="false" customHeight="true" hidden="false" ht="16.2" outlineLevel="0" r="381">
      <c r="A381" s="80" t="n">
        <v>192</v>
      </c>
      <c r="B381" s="81" t="s">
        <v>316</v>
      </c>
      <c r="C381" s="82" t="s">
        <v>1033</v>
      </c>
      <c r="D381" s="82" t="s">
        <v>1034</v>
      </c>
      <c r="E381" s="83" t="s">
        <v>1035</v>
      </c>
      <c r="F381" s="84" t="s">
        <v>1036</v>
      </c>
      <c r="G381" s="85"/>
      <c r="H381" s="85"/>
      <c r="I381" s="85"/>
      <c r="J381" s="85"/>
      <c r="K381" s="86" t="s">
        <v>53</v>
      </c>
      <c r="L381" s="86" t="s">
        <v>53</v>
      </c>
      <c r="M381" s="90"/>
      <c r="N381" s="90"/>
      <c r="O381" s="90"/>
      <c r="P381" s="90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90"/>
      <c r="AF381" s="81"/>
      <c r="AG381" s="81"/>
      <c r="AH381" s="81"/>
      <c r="AI381" s="81"/>
      <c r="AJ381" s="81"/>
      <c r="AK381" s="81"/>
      <c r="AL381" s="81"/>
      <c r="AM381" s="81" t="n">
        <f aca="false">O381+Q381+S381+U381+W381+Y381+AA381+AC381+AE381+AG381+AI381+AK381</f>
        <v>0</v>
      </c>
    </row>
    <row collapsed="false" customFormat="false" customHeight="true" hidden="false" ht="16.2" outlineLevel="0" r="382">
      <c r="A382" s="80"/>
      <c r="B382" s="89"/>
      <c r="C382" s="85"/>
      <c r="D382" s="85"/>
      <c r="E382" s="83" t="s">
        <v>1037</v>
      </c>
      <c r="F382" s="84" t="s">
        <v>1036</v>
      </c>
      <c r="G382" s="85"/>
      <c r="H382" s="85"/>
      <c r="I382" s="85"/>
      <c r="J382" s="85"/>
      <c r="K382" s="86"/>
      <c r="L382" s="86"/>
      <c r="M382" s="90" t="n">
        <f aca="false">789+845</f>
        <v>1634</v>
      </c>
      <c r="N382" s="90" t="n">
        <f aca="false">515+562</f>
        <v>1077</v>
      </c>
      <c r="O382" s="90" t="n">
        <v>146</v>
      </c>
      <c r="P382" s="90" t="s">
        <v>1005</v>
      </c>
      <c r="Q382" s="81" t="n">
        <v>79</v>
      </c>
      <c r="R382" s="90" t="s">
        <v>1005</v>
      </c>
      <c r="S382" s="81" t="n">
        <v>143</v>
      </c>
      <c r="T382" s="81" t="s">
        <v>1005</v>
      </c>
      <c r="U382" s="81" t="n">
        <v>94</v>
      </c>
      <c r="V382" s="81" t="s">
        <v>1005</v>
      </c>
      <c r="W382" s="81" t="n">
        <v>79</v>
      </c>
      <c r="X382" s="81" t="s">
        <v>1005</v>
      </c>
      <c r="Y382" s="81" t="n">
        <v>50</v>
      </c>
      <c r="Z382" s="81" t="s">
        <v>1005</v>
      </c>
      <c r="AA382" s="81" t="n">
        <v>24</v>
      </c>
      <c r="AB382" s="81" t="s">
        <v>1005</v>
      </c>
      <c r="AC382" s="81" t="n">
        <v>47</v>
      </c>
      <c r="AD382" s="81" t="s">
        <v>1005</v>
      </c>
      <c r="AE382" s="90" t="n">
        <f aca="false">18+41</f>
        <v>59</v>
      </c>
      <c r="AF382" s="81" t="s">
        <v>1005</v>
      </c>
      <c r="AG382" s="81" t="n">
        <f aca="false">28+42</f>
        <v>70</v>
      </c>
      <c r="AH382" s="81" t="s">
        <v>1005</v>
      </c>
      <c r="AI382" s="81" t="n">
        <f aca="false">46+47</f>
        <v>93</v>
      </c>
      <c r="AJ382" s="81" t="s">
        <v>1005</v>
      </c>
      <c r="AK382" s="81" t="n">
        <f aca="false">51+39</f>
        <v>90</v>
      </c>
      <c r="AL382" s="81" t="s">
        <v>1005</v>
      </c>
      <c r="AM382" s="81" t="n">
        <f aca="false">O382+Q382+S382+U382+W382+Y382+AA382+AC382+AE382+AG382+AI382+AK382</f>
        <v>974</v>
      </c>
    </row>
    <row collapsed="false" customFormat="false" customHeight="true" hidden="false" ht="16.2" outlineLevel="0" r="383">
      <c r="A383" s="80" t="n">
        <v>194</v>
      </c>
      <c r="B383" s="81" t="s">
        <v>318</v>
      </c>
      <c r="C383" s="82" t="s">
        <v>1033</v>
      </c>
      <c r="D383" s="82" t="s">
        <v>1034</v>
      </c>
      <c r="E383" s="83" t="s">
        <v>1035</v>
      </c>
      <c r="F383" s="84" t="s">
        <v>1036</v>
      </c>
      <c r="G383" s="85"/>
      <c r="H383" s="85"/>
      <c r="I383" s="85"/>
      <c r="J383" s="85"/>
      <c r="K383" s="86" t="s">
        <v>53</v>
      </c>
      <c r="L383" s="86" t="s">
        <v>53</v>
      </c>
      <c r="M383" s="90"/>
      <c r="N383" s="90"/>
      <c r="O383" s="90"/>
      <c r="P383" s="90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90"/>
      <c r="AF383" s="81"/>
      <c r="AG383" s="81"/>
      <c r="AH383" s="81"/>
      <c r="AI383" s="81"/>
      <c r="AJ383" s="81"/>
      <c r="AK383" s="81"/>
      <c r="AL383" s="81"/>
      <c r="AM383" s="81" t="n">
        <f aca="false">O383+Q383+S383+U383+W383+Y383+AA383+AC383+AE383+AG383+AI383+AK383</f>
        <v>0</v>
      </c>
    </row>
    <row collapsed="false" customFormat="false" customHeight="true" hidden="false" ht="16.2" outlineLevel="0" r="384">
      <c r="A384" s="80"/>
      <c r="B384" s="89"/>
      <c r="C384" s="85"/>
      <c r="D384" s="85"/>
      <c r="E384" s="83" t="s">
        <v>1037</v>
      </c>
      <c r="F384" s="84" t="s">
        <v>1036</v>
      </c>
      <c r="G384" s="85"/>
      <c r="H384" s="85"/>
      <c r="I384" s="85"/>
      <c r="J384" s="85"/>
      <c r="K384" s="86"/>
      <c r="L384" s="86"/>
      <c r="M384" s="90" t="n">
        <f aca="false">411+337</f>
        <v>748</v>
      </c>
      <c r="N384" s="90" t="n">
        <f aca="false">739+485</f>
        <v>1224</v>
      </c>
      <c r="O384" s="90" t="n">
        <v>99</v>
      </c>
      <c r="P384" s="90" t="s">
        <v>1005</v>
      </c>
      <c r="Q384" s="81" t="n">
        <v>100</v>
      </c>
      <c r="R384" s="90" t="s">
        <v>1005</v>
      </c>
      <c r="S384" s="81" t="n">
        <v>85</v>
      </c>
      <c r="T384" s="81" t="s">
        <v>1005</v>
      </c>
      <c r="U384" s="81" t="n">
        <v>84</v>
      </c>
      <c r="V384" s="81" t="s">
        <v>1005</v>
      </c>
      <c r="W384" s="81" t="n">
        <v>45</v>
      </c>
      <c r="X384" s="81" t="s">
        <v>1005</v>
      </c>
      <c r="Y384" s="81" t="n">
        <v>40</v>
      </c>
      <c r="Z384" s="81" t="s">
        <v>1005</v>
      </c>
      <c r="AA384" s="81" t="n">
        <v>12</v>
      </c>
      <c r="AB384" s="81" t="s">
        <v>1005</v>
      </c>
      <c r="AC384" s="81" t="n">
        <v>37</v>
      </c>
      <c r="AD384" s="81" t="s">
        <v>1005</v>
      </c>
      <c r="AE384" s="90" t="n">
        <f aca="false">10+18</f>
        <v>28</v>
      </c>
      <c r="AF384" s="81" t="s">
        <v>1005</v>
      </c>
      <c r="AG384" s="81" t="n">
        <f aca="false">43+32</f>
        <v>75</v>
      </c>
      <c r="AH384" s="81" t="s">
        <v>1005</v>
      </c>
      <c r="AI384" s="81" t="n">
        <f aca="false">77+45</f>
        <v>122</v>
      </c>
      <c r="AJ384" s="81" t="s">
        <v>1005</v>
      </c>
      <c r="AK384" s="81" t="n">
        <f aca="false">69+38</f>
        <v>107</v>
      </c>
      <c r="AL384" s="81" t="s">
        <v>1005</v>
      </c>
      <c r="AM384" s="81" t="n">
        <f aca="false">O384+Q384+S384+U384+W384+Y384+AA384+AC384+AE384+AG384+AI384+AK384</f>
        <v>834</v>
      </c>
    </row>
    <row collapsed="false" customFormat="false" customHeight="true" hidden="false" ht="16.2" outlineLevel="0" r="385">
      <c r="A385" s="80" t="n">
        <v>195</v>
      </c>
      <c r="B385" s="81" t="s">
        <v>319</v>
      </c>
      <c r="C385" s="82" t="s">
        <v>1033</v>
      </c>
      <c r="D385" s="82" t="s">
        <v>1034</v>
      </c>
      <c r="E385" s="83" t="s">
        <v>1035</v>
      </c>
      <c r="F385" s="84" t="s">
        <v>1036</v>
      </c>
      <c r="G385" s="85"/>
      <c r="H385" s="85"/>
      <c r="I385" s="85"/>
      <c r="J385" s="85"/>
      <c r="K385" s="86" t="s">
        <v>53</v>
      </c>
      <c r="L385" s="86" t="s">
        <v>53</v>
      </c>
      <c r="M385" s="90"/>
      <c r="N385" s="91"/>
      <c r="O385" s="90"/>
      <c r="P385" s="90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90"/>
      <c r="AF385" s="81"/>
      <c r="AG385" s="81"/>
      <c r="AH385" s="81"/>
      <c r="AI385" s="81"/>
      <c r="AJ385" s="81"/>
      <c r="AK385" s="81"/>
      <c r="AL385" s="81"/>
      <c r="AM385" s="81" t="n">
        <f aca="false">O385+Q385+S385+U385+W385+Y385+AA385+AC385+AE385+AG385+AI385+AK385</f>
        <v>0</v>
      </c>
    </row>
    <row collapsed="false" customFormat="false" customHeight="true" hidden="false" ht="16.2" outlineLevel="0" r="386">
      <c r="A386" s="80"/>
      <c r="B386" s="89"/>
      <c r="C386" s="85"/>
      <c r="D386" s="85"/>
      <c r="E386" s="83" t="s">
        <v>1037</v>
      </c>
      <c r="F386" s="84" t="s">
        <v>1036</v>
      </c>
      <c r="G386" s="85"/>
      <c r="H386" s="85"/>
      <c r="I386" s="85"/>
      <c r="J386" s="85"/>
      <c r="K386" s="86"/>
      <c r="L386" s="86"/>
      <c r="M386" s="90" t="n">
        <v>508</v>
      </c>
      <c r="N386" s="90" t="n">
        <f aca="false">266</f>
        <v>266</v>
      </c>
      <c r="O386" s="90" t="n">
        <v>76</v>
      </c>
      <c r="P386" s="90" t="s">
        <v>1005</v>
      </c>
      <c r="Q386" s="81" t="n">
        <v>62</v>
      </c>
      <c r="R386" s="90" t="s">
        <v>1005</v>
      </c>
      <c r="S386" s="81" t="n">
        <v>25</v>
      </c>
      <c r="T386" s="81" t="s">
        <v>1005</v>
      </c>
      <c r="U386" s="81" t="n">
        <v>21</v>
      </c>
      <c r="V386" s="81" t="s">
        <v>1005</v>
      </c>
      <c r="W386" s="81" t="n">
        <v>20</v>
      </c>
      <c r="X386" s="81" t="s">
        <v>1005</v>
      </c>
      <c r="Y386" s="81" t="n">
        <v>13</v>
      </c>
      <c r="Z386" s="81" t="s">
        <v>1005</v>
      </c>
      <c r="AA386" s="81" t="n">
        <v>9</v>
      </c>
      <c r="AB386" s="81" t="s">
        <v>1005</v>
      </c>
      <c r="AC386" s="81" t="n">
        <v>15</v>
      </c>
      <c r="AD386" s="81" t="s">
        <v>1005</v>
      </c>
      <c r="AE386" s="90" t="n">
        <f aca="false">9+24</f>
        <v>33</v>
      </c>
      <c r="AF386" s="81" t="s">
        <v>1005</v>
      </c>
      <c r="AG386" s="81" t="n">
        <f aca="false">22+23</f>
        <v>45</v>
      </c>
      <c r="AH386" s="81" t="s">
        <v>1005</v>
      </c>
      <c r="AI386" s="81" t="n">
        <f aca="false">45+62</f>
        <v>107</v>
      </c>
      <c r="AJ386" s="81" t="s">
        <v>1005</v>
      </c>
      <c r="AK386" s="81" t="n">
        <f aca="false">56+40</f>
        <v>96</v>
      </c>
      <c r="AL386" s="81" t="s">
        <v>1005</v>
      </c>
      <c r="AM386" s="81" t="n">
        <f aca="false">O386+Q386+S386+U386+W386+Y386+AA386+AC386+AE386+AG386+AI386+AK386</f>
        <v>522</v>
      </c>
    </row>
    <row collapsed="false" customFormat="false" customHeight="true" hidden="false" ht="16.2" outlineLevel="0" r="387">
      <c r="A387" s="80" t="n">
        <v>197</v>
      </c>
      <c r="B387" s="81"/>
      <c r="C387" s="82" t="s">
        <v>1033</v>
      </c>
      <c r="D387" s="85"/>
      <c r="E387" s="83" t="s">
        <v>1035</v>
      </c>
      <c r="F387" s="49" t="s">
        <v>1036</v>
      </c>
      <c r="G387" s="85"/>
      <c r="H387" s="85"/>
      <c r="I387" s="85"/>
      <c r="J387" s="85"/>
      <c r="K387" s="85"/>
      <c r="L387" s="85"/>
      <c r="M387" s="81"/>
      <c r="N387" s="81"/>
      <c r="O387" s="96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</row>
    <row collapsed="false" customFormat="false" customHeight="true" hidden="false" ht="16.2" outlineLevel="0" r="388">
      <c r="A388" s="80"/>
      <c r="B388" s="81" t="s">
        <v>323</v>
      </c>
      <c r="C388" s="85"/>
      <c r="D388" s="85" t="s">
        <v>1054</v>
      </c>
      <c r="E388" s="83" t="s">
        <v>1037</v>
      </c>
      <c r="F388" s="49" t="s">
        <v>1036</v>
      </c>
      <c r="G388" s="85" t="s">
        <v>1039</v>
      </c>
      <c r="H388" s="85" t="n">
        <v>2</v>
      </c>
      <c r="I388" s="85" t="s">
        <v>1039</v>
      </c>
      <c r="J388" s="85" t="n">
        <v>2</v>
      </c>
      <c r="K388" s="85" t="s">
        <v>1041</v>
      </c>
      <c r="L388" s="85" t="s">
        <v>1041</v>
      </c>
      <c r="M388" s="81"/>
      <c r="N388" s="81"/>
      <c r="O388" s="96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</row>
    <row collapsed="false" customFormat="false" customHeight="true" hidden="false" ht="16.2" outlineLevel="0" r="389">
      <c r="A389" s="80" t="n">
        <v>198</v>
      </c>
      <c r="B389" s="81"/>
      <c r="C389" s="82" t="s">
        <v>1033</v>
      </c>
      <c r="D389" s="85"/>
      <c r="E389" s="83" t="s">
        <v>1035</v>
      </c>
      <c r="F389" s="49" t="s">
        <v>1036</v>
      </c>
      <c r="G389" s="85"/>
      <c r="H389" s="85"/>
      <c r="I389" s="85"/>
      <c r="J389" s="85"/>
      <c r="K389" s="85"/>
      <c r="L389" s="85"/>
      <c r="M389" s="81"/>
      <c r="N389" s="81"/>
      <c r="O389" s="96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</row>
    <row collapsed="false" customFormat="false" customHeight="true" hidden="false" ht="16.2" outlineLevel="0" r="390">
      <c r="A390" s="80"/>
      <c r="B390" s="81" t="s">
        <v>324</v>
      </c>
      <c r="C390" s="85"/>
      <c r="D390" s="85" t="s">
        <v>1054</v>
      </c>
      <c r="E390" s="83" t="s">
        <v>1037</v>
      </c>
      <c r="F390" s="49" t="s">
        <v>1036</v>
      </c>
      <c r="G390" s="85" t="s">
        <v>1039</v>
      </c>
      <c r="H390" s="85" t="n">
        <v>2</v>
      </c>
      <c r="I390" s="85" t="s">
        <v>1039</v>
      </c>
      <c r="J390" s="85" t="n">
        <v>2</v>
      </c>
      <c r="K390" s="85" t="s">
        <v>1041</v>
      </c>
      <c r="L390" s="85" t="s">
        <v>1041</v>
      </c>
      <c r="M390" s="81"/>
      <c r="N390" s="81"/>
      <c r="O390" s="96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</row>
    <row collapsed="false" customFormat="false" customHeight="true" hidden="false" ht="16.2" outlineLevel="0" r="391">
      <c r="A391" s="80" t="n">
        <v>199</v>
      </c>
      <c r="B391" s="81"/>
      <c r="C391" s="82" t="s">
        <v>1033</v>
      </c>
      <c r="D391" s="85"/>
      <c r="E391" s="83" t="s">
        <v>1035</v>
      </c>
      <c r="F391" s="49" t="s">
        <v>1036</v>
      </c>
      <c r="G391" s="85"/>
      <c r="H391" s="85"/>
      <c r="I391" s="85"/>
      <c r="J391" s="85"/>
      <c r="K391" s="85"/>
      <c r="L391" s="85"/>
      <c r="M391" s="81"/>
      <c r="N391" s="81"/>
      <c r="O391" s="96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</row>
    <row collapsed="false" customFormat="false" customHeight="true" hidden="false" ht="16.2" outlineLevel="0" r="392">
      <c r="A392" s="80"/>
      <c r="B392" s="81" t="s">
        <v>325</v>
      </c>
      <c r="C392" s="85"/>
      <c r="D392" s="85" t="s">
        <v>1054</v>
      </c>
      <c r="E392" s="83" t="s">
        <v>1037</v>
      </c>
      <c r="F392" s="49" t="s">
        <v>1036</v>
      </c>
      <c r="G392" s="85" t="s">
        <v>1039</v>
      </c>
      <c r="H392" s="85" t="n">
        <v>2</v>
      </c>
      <c r="I392" s="85" t="s">
        <v>1039</v>
      </c>
      <c r="J392" s="85" t="n">
        <v>2</v>
      </c>
      <c r="K392" s="85" t="s">
        <v>1041</v>
      </c>
      <c r="L392" s="85" t="s">
        <v>1041</v>
      </c>
      <c r="M392" s="81"/>
      <c r="N392" s="81"/>
      <c r="O392" s="96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  <c r="AK392" s="81"/>
      <c r="AL392" s="81"/>
      <c r="AM392" s="81"/>
    </row>
    <row collapsed="false" customFormat="false" customHeight="true" hidden="false" ht="16.2" outlineLevel="0" r="393">
      <c r="A393" s="80" t="n">
        <v>200</v>
      </c>
      <c r="B393" s="81"/>
      <c r="C393" s="82" t="s">
        <v>1033</v>
      </c>
      <c r="D393" s="85"/>
      <c r="E393" s="83" t="s">
        <v>1035</v>
      </c>
      <c r="F393" s="49" t="s">
        <v>1036</v>
      </c>
      <c r="G393" s="85"/>
      <c r="H393" s="85"/>
      <c r="I393" s="85"/>
      <c r="J393" s="85"/>
      <c r="K393" s="85"/>
      <c r="L393" s="85"/>
      <c r="M393" s="81"/>
      <c r="N393" s="81"/>
      <c r="O393" s="96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81"/>
    </row>
    <row collapsed="false" customFormat="false" customHeight="true" hidden="false" ht="16.2" outlineLevel="0" r="394">
      <c r="A394" s="80"/>
      <c r="B394" s="81" t="s">
        <v>1062</v>
      </c>
      <c r="C394" s="85"/>
      <c r="D394" s="85" t="s">
        <v>1054</v>
      </c>
      <c r="E394" s="83" t="s">
        <v>1037</v>
      </c>
      <c r="F394" s="49" t="s">
        <v>1036</v>
      </c>
      <c r="G394" s="85" t="s">
        <v>1039</v>
      </c>
      <c r="H394" s="85" t="n">
        <v>12</v>
      </c>
      <c r="I394" s="85" t="s">
        <v>1039</v>
      </c>
      <c r="J394" s="85" t="n">
        <v>3</v>
      </c>
      <c r="K394" s="85" t="s">
        <v>1041</v>
      </c>
      <c r="L394" s="85" t="s">
        <v>1041</v>
      </c>
      <c r="M394" s="81" t="n">
        <v>2424</v>
      </c>
      <c r="N394" s="81"/>
      <c r="O394" s="96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  <c r="AK394" s="81"/>
      <c r="AL394" s="81"/>
      <c r="AM394" s="81"/>
    </row>
    <row collapsed="false" customFormat="false" customHeight="true" hidden="false" ht="16.2" outlineLevel="0" r="395">
      <c r="A395" s="80" t="n">
        <v>201</v>
      </c>
      <c r="B395" s="81"/>
      <c r="C395" s="82" t="s">
        <v>1033</v>
      </c>
      <c r="D395" s="85"/>
      <c r="E395" s="83" t="s">
        <v>1035</v>
      </c>
      <c r="F395" s="49" t="s">
        <v>1036</v>
      </c>
      <c r="G395" s="85"/>
      <c r="H395" s="85"/>
      <c r="I395" s="85"/>
      <c r="J395" s="85"/>
      <c r="K395" s="85"/>
      <c r="L395" s="85"/>
      <c r="M395" s="81"/>
      <c r="N395" s="81"/>
      <c r="O395" s="96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81"/>
    </row>
    <row collapsed="false" customFormat="false" customHeight="true" hidden="false" ht="16.2" outlineLevel="0" r="396">
      <c r="A396" s="80"/>
      <c r="B396" s="81" t="s">
        <v>328</v>
      </c>
      <c r="C396" s="85"/>
      <c r="D396" s="85" t="s">
        <v>1054</v>
      </c>
      <c r="E396" s="83" t="s">
        <v>1037</v>
      </c>
      <c r="F396" s="49" t="s">
        <v>1036</v>
      </c>
      <c r="G396" s="85" t="s">
        <v>1039</v>
      </c>
      <c r="H396" s="85" t="n">
        <v>12</v>
      </c>
      <c r="I396" s="85"/>
      <c r="J396" s="85" t="n">
        <v>3</v>
      </c>
      <c r="K396" s="85" t="s">
        <v>1041</v>
      </c>
      <c r="L396" s="85" t="s">
        <v>1041</v>
      </c>
      <c r="M396" s="81" t="n">
        <v>3636</v>
      </c>
      <c r="N396" s="81"/>
      <c r="O396" s="96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  <c r="AL396" s="81"/>
      <c r="AM396" s="81"/>
    </row>
    <row collapsed="false" customFormat="false" customHeight="true" hidden="false" ht="16.2" outlineLevel="0" r="397">
      <c r="A397" s="80" t="n">
        <v>202</v>
      </c>
      <c r="B397" s="81"/>
      <c r="C397" s="82" t="s">
        <v>1033</v>
      </c>
      <c r="D397" s="85"/>
      <c r="E397" s="83" t="s">
        <v>1035</v>
      </c>
      <c r="F397" s="49" t="s">
        <v>1036</v>
      </c>
      <c r="G397" s="85"/>
      <c r="H397" s="85"/>
      <c r="I397" s="85"/>
      <c r="J397" s="85"/>
      <c r="K397" s="85"/>
      <c r="L397" s="85"/>
      <c r="M397" s="81"/>
      <c r="N397" s="81"/>
      <c r="O397" s="96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  <c r="AJ397" s="81"/>
      <c r="AK397" s="81"/>
      <c r="AL397" s="81"/>
      <c r="AM397" s="81"/>
    </row>
    <row collapsed="false" customFormat="false" customHeight="true" hidden="false" ht="16.2" outlineLevel="0" r="398">
      <c r="A398" s="80"/>
      <c r="B398" s="81" t="s">
        <v>329</v>
      </c>
      <c r="C398" s="85"/>
      <c r="D398" s="85" t="s">
        <v>1054</v>
      </c>
      <c r="E398" s="83" t="s">
        <v>1037</v>
      </c>
      <c r="F398" s="49" t="s">
        <v>1036</v>
      </c>
      <c r="G398" s="85" t="s">
        <v>1039</v>
      </c>
      <c r="H398" s="85" t="n">
        <v>12</v>
      </c>
      <c r="I398" s="85" t="s">
        <v>1039</v>
      </c>
      <c r="J398" s="85" t="n">
        <v>3</v>
      </c>
      <c r="K398" s="85" t="s">
        <v>1041</v>
      </c>
      <c r="L398" s="85" t="s">
        <v>1041</v>
      </c>
      <c r="M398" s="81" t="n">
        <v>3564</v>
      </c>
      <c r="N398" s="81"/>
      <c r="O398" s="96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  <c r="AK398" s="81"/>
      <c r="AL398" s="81"/>
      <c r="AM398" s="81"/>
    </row>
    <row collapsed="false" customFormat="false" customHeight="true" hidden="false" ht="16.2" outlineLevel="0" r="399">
      <c r="A399" s="80" t="n">
        <v>203</v>
      </c>
      <c r="B399" s="81"/>
      <c r="C399" s="82" t="s">
        <v>1033</v>
      </c>
      <c r="D399" s="85"/>
      <c r="E399" s="83" t="s">
        <v>1035</v>
      </c>
      <c r="F399" s="49" t="s">
        <v>1036</v>
      </c>
      <c r="G399" s="85"/>
      <c r="H399" s="85"/>
      <c r="I399" s="85"/>
      <c r="J399" s="85"/>
      <c r="K399" s="85"/>
      <c r="L399" s="85"/>
      <c r="M399" s="81"/>
      <c r="N399" s="81"/>
      <c r="O399" s="96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81"/>
    </row>
    <row collapsed="false" customFormat="false" customHeight="true" hidden="false" ht="16.2" outlineLevel="0" r="400">
      <c r="A400" s="80"/>
      <c r="B400" s="81" t="s">
        <v>331</v>
      </c>
      <c r="C400" s="85"/>
      <c r="D400" s="85" t="s">
        <v>1054</v>
      </c>
      <c r="E400" s="83" t="s">
        <v>1037</v>
      </c>
      <c r="F400" s="49" t="s">
        <v>1036</v>
      </c>
      <c r="G400" s="85" t="s">
        <v>1039</v>
      </c>
      <c r="H400" s="85" t="n">
        <v>10</v>
      </c>
      <c r="I400" s="85" t="s">
        <v>1039</v>
      </c>
      <c r="J400" s="85" t="n">
        <v>2</v>
      </c>
      <c r="K400" s="85" t="s">
        <v>1041</v>
      </c>
      <c r="L400" s="85" t="s">
        <v>1041</v>
      </c>
      <c r="M400" s="81" t="n">
        <v>840</v>
      </c>
      <c r="N400" s="81"/>
      <c r="O400" s="96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  <c r="AK400" s="81"/>
      <c r="AL400" s="81"/>
      <c r="AM400" s="81"/>
    </row>
    <row collapsed="false" customFormat="false" customHeight="true" hidden="false" ht="16.2" outlineLevel="0" r="401">
      <c r="A401" s="80" t="n">
        <v>204</v>
      </c>
      <c r="B401" s="81"/>
      <c r="C401" s="82" t="s">
        <v>1033</v>
      </c>
      <c r="D401" s="85"/>
      <c r="E401" s="83" t="s">
        <v>1035</v>
      </c>
      <c r="F401" s="49" t="s">
        <v>1036</v>
      </c>
      <c r="G401" s="85"/>
      <c r="H401" s="85"/>
      <c r="I401" s="85"/>
      <c r="J401" s="85"/>
      <c r="K401" s="85"/>
      <c r="L401" s="85"/>
      <c r="M401" s="81"/>
      <c r="N401" s="81"/>
      <c r="O401" s="96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  <c r="AJ401" s="81"/>
      <c r="AK401" s="81"/>
      <c r="AL401" s="81"/>
      <c r="AM401" s="81"/>
    </row>
    <row collapsed="false" customFormat="false" customHeight="true" hidden="false" ht="16.2" outlineLevel="0" r="402">
      <c r="A402" s="80"/>
      <c r="B402" s="81" t="s">
        <v>332</v>
      </c>
      <c r="C402" s="85"/>
      <c r="D402" s="85" t="s">
        <v>1054</v>
      </c>
      <c r="E402" s="83" t="s">
        <v>1037</v>
      </c>
      <c r="F402" s="49" t="s">
        <v>1036</v>
      </c>
      <c r="G402" s="85" t="s">
        <v>1042</v>
      </c>
      <c r="H402" s="85" t="n">
        <v>36</v>
      </c>
      <c r="I402" s="85" t="s">
        <v>1050</v>
      </c>
      <c r="J402" s="85" t="n">
        <v>4</v>
      </c>
      <c r="K402" s="85" t="s">
        <v>1041</v>
      </c>
      <c r="L402" s="85" t="s">
        <v>1041</v>
      </c>
      <c r="M402" s="81" t="n">
        <v>11850</v>
      </c>
      <c r="N402" s="81"/>
      <c r="O402" s="96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</row>
    <row collapsed="false" customFormat="false" customHeight="true" hidden="false" ht="16.2" outlineLevel="0" r="403">
      <c r="A403" s="80" t="n">
        <v>205</v>
      </c>
      <c r="B403" s="81"/>
      <c r="C403" s="82" t="s">
        <v>1033</v>
      </c>
      <c r="D403" s="85"/>
      <c r="E403" s="83" t="s">
        <v>1035</v>
      </c>
      <c r="F403" s="49" t="s">
        <v>1036</v>
      </c>
      <c r="G403" s="85"/>
      <c r="H403" s="85"/>
      <c r="I403" s="85"/>
      <c r="J403" s="85"/>
      <c r="K403" s="85"/>
      <c r="L403" s="85"/>
      <c r="M403" s="81"/>
      <c r="N403" s="81"/>
      <c r="O403" s="96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</row>
    <row collapsed="false" customFormat="false" customHeight="true" hidden="false" ht="16.2" outlineLevel="0" r="404">
      <c r="A404" s="80"/>
      <c r="B404" s="81" t="s">
        <v>334</v>
      </c>
      <c r="C404" s="85"/>
      <c r="D404" s="85" t="s">
        <v>1054</v>
      </c>
      <c r="E404" s="83" t="s">
        <v>1037</v>
      </c>
      <c r="F404" s="49" t="s">
        <v>1036</v>
      </c>
      <c r="G404" s="85" t="s">
        <v>1039</v>
      </c>
      <c r="H404" s="85" t="n">
        <v>20</v>
      </c>
      <c r="I404" s="85" t="s">
        <v>1050</v>
      </c>
      <c r="J404" s="85" t="n">
        <v>4</v>
      </c>
      <c r="K404" s="85" t="s">
        <v>1041</v>
      </c>
      <c r="L404" s="85" t="s">
        <v>1041</v>
      </c>
      <c r="M404" s="81" t="n">
        <v>7200</v>
      </c>
      <c r="N404" s="81"/>
      <c r="O404" s="96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</row>
    <row collapsed="false" customFormat="false" customHeight="true" hidden="false" ht="16.2" outlineLevel="0" r="405">
      <c r="A405" s="80" t="n">
        <v>207</v>
      </c>
      <c r="B405" s="81" t="s">
        <v>338</v>
      </c>
      <c r="C405" s="82" t="s">
        <v>1033</v>
      </c>
      <c r="D405" s="82" t="s">
        <v>1034</v>
      </c>
      <c r="E405" s="83" t="s">
        <v>1035</v>
      </c>
      <c r="F405" s="84" t="s">
        <v>1036</v>
      </c>
      <c r="G405" s="85"/>
      <c r="H405" s="85"/>
      <c r="I405" s="85"/>
      <c r="J405" s="85"/>
      <c r="K405" s="86" t="s">
        <v>53</v>
      </c>
      <c r="L405" s="86" t="s">
        <v>53</v>
      </c>
      <c r="M405" s="90"/>
      <c r="N405" s="91"/>
      <c r="O405" s="90"/>
      <c r="P405" s="90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90"/>
      <c r="AF405" s="81"/>
      <c r="AG405" s="81"/>
      <c r="AH405" s="81"/>
      <c r="AI405" s="81"/>
      <c r="AJ405" s="81"/>
      <c r="AK405" s="81"/>
      <c r="AL405" s="81"/>
      <c r="AM405" s="81" t="n">
        <f aca="false">O405+Q405+S405+U405+W405+Y405+AA405+AC405+AE405+AG405+AI405+AK405</f>
        <v>0</v>
      </c>
    </row>
    <row collapsed="false" customFormat="false" customHeight="true" hidden="false" ht="16.2" outlineLevel="0" r="406">
      <c r="A406" s="80"/>
      <c r="B406" s="89"/>
      <c r="C406" s="85"/>
      <c r="D406" s="85"/>
      <c r="E406" s="83" t="s">
        <v>1037</v>
      </c>
      <c r="F406" s="84" t="s">
        <v>1036</v>
      </c>
      <c r="G406" s="85"/>
      <c r="H406" s="85"/>
      <c r="I406" s="85"/>
      <c r="J406" s="85"/>
      <c r="K406" s="86"/>
      <c r="L406" s="86"/>
      <c r="M406" s="90" t="n">
        <f aca="false">1218+1351</f>
        <v>2569</v>
      </c>
      <c r="N406" s="91" t="n">
        <f aca="false">1363+1074</f>
        <v>2437</v>
      </c>
      <c r="O406" s="90" t="n">
        <v>211</v>
      </c>
      <c r="P406" s="90" t="s">
        <v>1005</v>
      </c>
      <c r="Q406" s="81" t="n">
        <v>216</v>
      </c>
      <c r="R406" s="90" t="s">
        <v>1005</v>
      </c>
      <c r="S406" s="81" t="n">
        <v>163</v>
      </c>
      <c r="T406" s="81" t="s">
        <v>1005</v>
      </c>
      <c r="U406" s="81" t="n">
        <v>173</v>
      </c>
      <c r="V406" s="81" t="s">
        <v>1005</v>
      </c>
      <c r="W406" s="81" t="n">
        <v>20</v>
      </c>
      <c r="X406" s="81" t="s">
        <v>1005</v>
      </c>
      <c r="Y406" s="81" t="n">
        <v>78</v>
      </c>
      <c r="Z406" s="81" t="s">
        <v>1005</v>
      </c>
      <c r="AA406" s="81" t="n">
        <v>158</v>
      </c>
      <c r="AB406" s="81" t="s">
        <v>1005</v>
      </c>
      <c r="AC406" s="81" t="n">
        <v>127</v>
      </c>
      <c r="AD406" s="81" t="s">
        <v>1005</v>
      </c>
      <c r="AE406" s="90" t="n">
        <f aca="false">39+68</f>
        <v>107</v>
      </c>
      <c r="AF406" s="81" t="s">
        <v>1005</v>
      </c>
      <c r="AG406" s="81" t="n">
        <f aca="false">133+129</f>
        <v>262</v>
      </c>
      <c r="AH406" s="81" t="s">
        <v>1005</v>
      </c>
      <c r="AI406" s="81" t="n">
        <f aca="false">138+123</f>
        <v>261</v>
      </c>
      <c r="AJ406" s="81" t="s">
        <v>1005</v>
      </c>
      <c r="AK406" s="81" t="n">
        <f aca="false">135+106</f>
        <v>241</v>
      </c>
      <c r="AL406" s="81" t="s">
        <v>1005</v>
      </c>
      <c r="AM406" s="81" t="n">
        <f aca="false">O406+Q406+S406+U406+W406+Y406+AA406+AC406+AE406+AG406+AI406+AK406</f>
        <v>2017</v>
      </c>
    </row>
    <row collapsed="false" customFormat="false" customHeight="true" hidden="false" ht="16.2" outlineLevel="0" r="407">
      <c r="A407" s="80" t="n">
        <v>208</v>
      </c>
      <c r="B407" s="81" t="s">
        <v>339</v>
      </c>
      <c r="C407" s="82" t="s">
        <v>1033</v>
      </c>
      <c r="D407" s="82" t="s">
        <v>1034</v>
      </c>
      <c r="E407" s="83" t="s">
        <v>1035</v>
      </c>
      <c r="F407" s="84" t="s">
        <v>1036</v>
      </c>
      <c r="G407" s="85"/>
      <c r="H407" s="85"/>
      <c r="I407" s="85"/>
      <c r="J407" s="85"/>
      <c r="K407" s="86" t="s">
        <v>53</v>
      </c>
      <c r="L407" s="86" t="s">
        <v>53</v>
      </c>
      <c r="M407" s="90"/>
      <c r="N407" s="90"/>
      <c r="O407" s="90"/>
      <c r="P407" s="90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90"/>
      <c r="AF407" s="81"/>
      <c r="AG407" s="81"/>
      <c r="AH407" s="81"/>
      <c r="AI407" s="81"/>
      <c r="AJ407" s="81"/>
      <c r="AK407" s="81"/>
      <c r="AL407" s="81"/>
      <c r="AM407" s="81" t="n">
        <f aca="false">O407+Q407+S407+U407+W407+Y407+AA407+AC407+AE407+AG407+AI407+AK407</f>
        <v>0</v>
      </c>
    </row>
    <row collapsed="false" customFormat="false" customHeight="true" hidden="false" ht="16.2" outlineLevel="0" r="408">
      <c r="A408" s="80"/>
      <c r="B408" s="89"/>
      <c r="C408" s="85"/>
      <c r="D408" s="85"/>
      <c r="E408" s="83" t="s">
        <v>1037</v>
      </c>
      <c r="F408" s="84" t="s">
        <v>1036</v>
      </c>
      <c r="G408" s="85"/>
      <c r="H408" s="85"/>
      <c r="I408" s="85"/>
      <c r="J408" s="85"/>
      <c r="K408" s="86"/>
      <c r="L408" s="86"/>
      <c r="M408" s="90" t="n">
        <f aca="false">1072+775</f>
        <v>1847</v>
      </c>
      <c r="N408" s="91" t="n">
        <f aca="false">822+692</f>
        <v>1514</v>
      </c>
      <c r="O408" s="90" t="n">
        <v>196</v>
      </c>
      <c r="P408" s="90" t="s">
        <v>1005</v>
      </c>
      <c r="Q408" s="81" t="n">
        <v>113</v>
      </c>
      <c r="R408" s="90" t="s">
        <v>1005</v>
      </c>
      <c r="S408" s="81" t="n">
        <v>121</v>
      </c>
      <c r="T408" s="81" t="s">
        <v>1005</v>
      </c>
      <c r="U408" s="81" t="n">
        <v>198</v>
      </c>
      <c r="V408" s="81" t="s">
        <v>1005</v>
      </c>
      <c r="W408" s="81" t="n">
        <v>27</v>
      </c>
      <c r="X408" s="81" t="s">
        <v>1005</v>
      </c>
      <c r="Y408" s="81" t="n">
        <v>14</v>
      </c>
      <c r="Z408" s="81" t="s">
        <v>1005</v>
      </c>
      <c r="AA408" s="81" t="n">
        <v>34</v>
      </c>
      <c r="AB408" s="81" t="s">
        <v>1005</v>
      </c>
      <c r="AC408" s="81" t="n">
        <v>77</v>
      </c>
      <c r="AD408" s="81" t="s">
        <v>1005</v>
      </c>
      <c r="AE408" s="90" t="n">
        <f aca="false">26+47</f>
        <v>73</v>
      </c>
      <c r="AF408" s="81" t="s">
        <v>1005</v>
      </c>
      <c r="AG408" s="81" t="n">
        <f aca="false">48+52</f>
        <v>100</v>
      </c>
      <c r="AH408" s="81" t="s">
        <v>1005</v>
      </c>
      <c r="AI408" s="81" t="n">
        <f aca="false">71+51</f>
        <v>122</v>
      </c>
      <c r="AJ408" s="81" t="s">
        <v>1005</v>
      </c>
      <c r="AK408" s="81" t="n">
        <f aca="false">88+53</f>
        <v>141</v>
      </c>
      <c r="AL408" s="81" t="s">
        <v>1005</v>
      </c>
      <c r="AM408" s="81" t="n">
        <f aca="false">O408+Q408+S408+U408+W408+Y408+AA408+AC408+AE408+AG408+AI408+AK408</f>
        <v>1216</v>
      </c>
    </row>
    <row collapsed="false" customFormat="false" customHeight="true" hidden="false" ht="16.2" outlineLevel="0" r="409">
      <c r="A409" s="80" t="n">
        <v>209</v>
      </c>
      <c r="B409" s="81" t="s">
        <v>340</v>
      </c>
      <c r="C409" s="82" t="s">
        <v>1033</v>
      </c>
      <c r="D409" s="82" t="s">
        <v>1034</v>
      </c>
      <c r="E409" s="83" t="s">
        <v>1035</v>
      </c>
      <c r="F409" s="84" t="s">
        <v>1036</v>
      </c>
      <c r="G409" s="85"/>
      <c r="H409" s="85"/>
      <c r="I409" s="85"/>
      <c r="J409" s="85"/>
      <c r="K409" s="86" t="s">
        <v>53</v>
      </c>
      <c r="L409" s="86" t="s">
        <v>53</v>
      </c>
      <c r="M409" s="90"/>
      <c r="N409" s="90"/>
      <c r="O409" s="90"/>
      <c r="P409" s="90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90"/>
      <c r="AF409" s="81"/>
      <c r="AG409" s="81"/>
      <c r="AH409" s="81"/>
      <c r="AI409" s="81"/>
      <c r="AJ409" s="81"/>
      <c r="AK409" s="81"/>
      <c r="AL409" s="81"/>
      <c r="AM409" s="81" t="n">
        <f aca="false">O409+Q409+S409+U409+W409+Y409+AA409+AC409+AE409+AG409+AI409+AK409</f>
        <v>0</v>
      </c>
    </row>
    <row collapsed="false" customFormat="false" customHeight="true" hidden="false" ht="16.2" outlineLevel="0" r="410">
      <c r="A410" s="80"/>
      <c r="B410" s="89"/>
      <c r="C410" s="85"/>
      <c r="D410" s="85"/>
      <c r="E410" s="83" t="s">
        <v>1037</v>
      </c>
      <c r="F410" s="84" t="s">
        <v>1036</v>
      </c>
      <c r="G410" s="85"/>
      <c r="H410" s="85"/>
      <c r="I410" s="85"/>
      <c r="J410" s="85"/>
      <c r="K410" s="86"/>
      <c r="L410" s="86"/>
      <c r="M410" s="90" t="n">
        <f aca="false">99+1976+1932+1244+1322+1582+1002</f>
        <v>9157</v>
      </c>
      <c r="N410" s="91" t="n">
        <f aca="false">164+952+1231+1360+953+1284+1234</f>
        <v>7178</v>
      </c>
      <c r="O410" s="90" t="n">
        <v>1181</v>
      </c>
      <c r="P410" s="90" t="s">
        <v>1005</v>
      </c>
      <c r="Q410" s="81" t="n">
        <v>1276</v>
      </c>
      <c r="R410" s="90" t="s">
        <v>1005</v>
      </c>
      <c r="S410" s="81" t="n">
        <v>1450</v>
      </c>
      <c r="T410" s="81" t="s">
        <v>1005</v>
      </c>
      <c r="U410" s="81" t="n">
        <v>1232</v>
      </c>
      <c r="V410" s="81" t="s">
        <v>1005</v>
      </c>
      <c r="W410" s="81" t="n">
        <v>727</v>
      </c>
      <c r="X410" s="81" t="s">
        <v>1005</v>
      </c>
      <c r="Y410" s="81" t="n">
        <v>294</v>
      </c>
      <c r="Z410" s="81" t="s">
        <v>1005</v>
      </c>
      <c r="AA410" s="81" t="n">
        <v>498</v>
      </c>
      <c r="AB410" s="81" t="s">
        <v>1005</v>
      </c>
      <c r="AC410" s="81" t="n">
        <v>747</v>
      </c>
      <c r="AD410" s="81" t="s">
        <v>1005</v>
      </c>
      <c r="AE410" s="90" t="n">
        <f aca="false">55+63+66+95+92+66+153+138</f>
        <v>728</v>
      </c>
      <c r="AF410" s="81" t="s">
        <v>1005</v>
      </c>
      <c r="AG410" s="81" t="n">
        <f aca="false">14+6+96+119+81+61+206+160</f>
        <v>743</v>
      </c>
      <c r="AH410" s="81" t="s">
        <v>1005</v>
      </c>
      <c r="AI410" s="81" t="n">
        <f aca="false">13+9+189+162+105+69+264+168</f>
        <v>979</v>
      </c>
      <c r="AJ410" s="81" t="s">
        <v>1005</v>
      </c>
      <c r="AK410" s="81" t="n">
        <f aca="false">7+7+255+163+107+66+273+157</f>
        <v>1035</v>
      </c>
      <c r="AL410" s="81" t="s">
        <v>1005</v>
      </c>
      <c r="AM410" s="81" t="n">
        <f aca="false">O410+Q410+S410+U410+W410+Y410+AA410+AC410+AE410+AG410+AI410+AK410</f>
        <v>10890</v>
      </c>
    </row>
    <row collapsed="false" customFormat="false" customHeight="true" hidden="false" ht="16.2" outlineLevel="0" r="411">
      <c r="A411" s="80" t="n">
        <v>210</v>
      </c>
      <c r="B411" s="81" t="s">
        <v>341</v>
      </c>
      <c r="C411" s="82" t="s">
        <v>1033</v>
      </c>
      <c r="D411" s="82" t="s">
        <v>1034</v>
      </c>
      <c r="E411" s="83" t="s">
        <v>1035</v>
      </c>
      <c r="F411" s="84" t="s">
        <v>1036</v>
      </c>
      <c r="G411" s="85"/>
      <c r="H411" s="85"/>
      <c r="I411" s="85"/>
      <c r="J411" s="85"/>
      <c r="K411" s="86" t="s">
        <v>53</v>
      </c>
      <c r="L411" s="86" t="s">
        <v>53</v>
      </c>
      <c r="M411" s="90"/>
      <c r="N411" s="90"/>
      <c r="O411" s="90"/>
      <c r="P411" s="90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90"/>
      <c r="AF411" s="81"/>
      <c r="AG411" s="81"/>
      <c r="AH411" s="81"/>
      <c r="AI411" s="81"/>
      <c r="AJ411" s="81"/>
      <c r="AK411" s="81"/>
      <c r="AL411" s="81"/>
      <c r="AM411" s="81" t="n">
        <f aca="false">O411+Q411+S411+U411+W411+Y411+AA411+AC411+AE411+AG411+AI411+AK411</f>
        <v>0</v>
      </c>
    </row>
    <row collapsed="false" customFormat="false" customHeight="true" hidden="false" ht="16.2" outlineLevel="0" r="412">
      <c r="A412" s="80"/>
      <c r="B412" s="89"/>
      <c r="C412" s="85"/>
      <c r="D412" s="85"/>
      <c r="E412" s="83" t="s">
        <v>1037</v>
      </c>
      <c r="F412" s="84" t="s">
        <v>1036</v>
      </c>
      <c r="G412" s="85"/>
      <c r="H412" s="85"/>
      <c r="I412" s="85"/>
      <c r="J412" s="85"/>
      <c r="K412" s="86"/>
      <c r="L412" s="86"/>
      <c r="M412" s="90" t="n">
        <f aca="false">567+589</f>
        <v>1156</v>
      </c>
      <c r="N412" s="91" t="n">
        <f aca="false">626+478</f>
        <v>1104</v>
      </c>
      <c r="O412" s="90" t="n">
        <v>113</v>
      </c>
      <c r="P412" s="90" t="s">
        <v>1005</v>
      </c>
      <c r="Q412" s="81" t="n">
        <v>113</v>
      </c>
      <c r="R412" s="90" t="s">
        <v>1005</v>
      </c>
      <c r="S412" s="81" t="n">
        <v>61</v>
      </c>
      <c r="T412" s="81" t="s">
        <v>1005</v>
      </c>
      <c r="U412" s="81" t="n">
        <v>53</v>
      </c>
      <c r="V412" s="81" t="s">
        <v>1005</v>
      </c>
      <c r="W412" s="81" t="n">
        <v>59</v>
      </c>
      <c r="X412" s="81" t="s">
        <v>1005</v>
      </c>
      <c r="Y412" s="81" t="n">
        <v>61</v>
      </c>
      <c r="Z412" s="81" t="s">
        <v>1005</v>
      </c>
      <c r="AA412" s="81" t="n">
        <v>47</v>
      </c>
      <c r="AB412" s="81" t="s">
        <v>1005</v>
      </c>
      <c r="AC412" s="81" t="n">
        <v>79</v>
      </c>
      <c r="AD412" s="81" t="s">
        <v>1005</v>
      </c>
      <c r="AE412" s="90" t="n">
        <f aca="false">34+26</f>
        <v>60</v>
      </c>
      <c r="AF412" s="81" t="s">
        <v>1005</v>
      </c>
      <c r="AG412" s="81" t="n">
        <f aca="false">43+34</f>
        <v>77</v>
      </c>
      <c r="AH412" s="81" t="s">
        <v>1005</v>
      </c>
      <c r="AI412" s="81" t="n">
        <f aca="false">60+48</f>
        <v>108</v>
      </c>
      <c r="AJ412" s="81" t="s">
        <v>1005</v>
      </c>
      <c r="AK412" s="81" t="n">
        <f aca="false">89+53</f>
        <v>142</v>
      </c>
      <c r="AL412" s="81" t="s">
        <v>1005</v>
      </c>
      <c r="AM412" s="81" t="n">
        <f aca="false">O412+Q412+S412+U412+W412+Y412+AA412+AC412+AE412+AG412+AI412+AK412</f>
        <v>973</v>
      </c>
    </row>
    <row collapsed="false" customFormat="false" customHeight="true" hidden="false" ht="16.2" outlineLevel="0" r="413">
      <c r="A413" s="80" t="n">
        <v>211</v>
      </c>
      <c r="B413" s="81" t="s">
        <v>343</v>
      </c>
      <c r="C413" s="82" t="s">
        <v>1033</v>
      </c>
      <c r="D413" s="82" t="s">
        <v>1034</v>
      </c>
      <c r="E413" s="83" t="s">
        <v>1035</v>
      </c>
      <c r="F413" s="84" t="s">
        <v>1036</v>
      </c>
      <c r="G413" s="85"/>
      <c r="H413" s="85"/>
      <c r="I413" s="85"/>
      <c r="J413" s="85"/>
      <c r="K413" s="86" t="s">
        <v>53</v>
      </c>
      <c r="L413" s="86" t="s">
        <v>53</v>
      </c>
      <c r="M413" s="90"/>
      <c r="N413" s="90"/>
      <c r="O413" s="90"/>
      <c r="P413" s="90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90"/>
      <c r="AF413" s="81"/>
      <c r="AG413" s="81"/>
      <c r="AH413" s="81"/>
      <c r="AI413" s="81"/>
      <c r="AJ413" s="81"/>
      <c r="AK413" s="81"/>
      <c r="AL413" s="81"/>
      <c r="AM413" s="81" t="n">
        <f aca="false">O413+Q413+S413+U413+W413+Y413+AA413+AC413+AE413+AG413+AI413+AK413</f>
        <v>0</v>
      </c>
    </row>
    <row collapsed="false" customFormat="false" customHeight="true" hidden="false" ht="16.2" outlineLevel="0" r="414">
      <c r="A414" s="80"/>
      <c r="B414" s="89"/>
      <c r="C414" s="85"/>
      <c r="D414" s="85"/>
      <c r="E414" s="83" t="s">
        <v>1037</v>
      </c>
      <c r="F414" s="84" t="s">
        <v>1036</v>
      </c>
      <c r="G414" s="85"/>
      <c r="H414" s="85"/>
      <c r="I414" s="85"/>
      <c r="J414" s="85"/>
      <c r="K414" s="86"/>
      <c r="L414" s="86"/>
      <c r="M414" s="90" t="n">
        <f aca="false">1024+527</f>
        <v>1551</v>
      </c>
      <c r="N414" s="91" t="n">
        <f aca="false">998+514</f>
        <v>1512</v>
      </c>
      <c r="O414" s="90" t="n">
        <v>164</v>
      </c>
      <c r="P414" s="90" t="s">
        <v>1005</v>
      </c>
      <c r="Q414" s="81" t="n">
        <v>159</v>
      </c>
      <c r="R414" s="90" t="s">
        <v>1005</v>
      </c>
      <c r="S414" s="81" t="n">
        <v>174</v>
      </c>
      <c r="T414" s="81" t="s">
        <v>1061</v>
      </c>
      <c r="U414" s="81" t="n">
        <v>174</v>
      </c>
      <c r="V414" s="81" t="s">
        <v>1061</v>
      </c>
      <c r="W414" s="81" t="n">
        <v>163</v>
      </c>
      <c r="X414" s="81" t="s">
        <v>1005</v>
      </c>
      <c r="Y414" s="81" t="n">
        <v>21</v>
      </c>
      <c r="Z414" s="81" t="s">
        <v>1005</v>
      </c>
      <c r="AA414" s="81" t="n">
        <v>45</v>
      </c>
      <c r="AB414" s="81" t="s">
        <v>1005</v>
      </c>
      <c r="AC414" s="81" t="n">
        <v>64</v>
      </c>
      <c r="AD414" s="81" t="s">
        <v>1005</v>
      </c>
      <c r="AE414" s="90" t="n">
        <f aca="false">47+34</f>
        <v>81</v>
      </c>
      <c r="AF414" s="81" t="s">
        <v>1005</v>
      </c>
      <c r="AG414" s="81" t="n">
        <f aca="false">58+43</f>
        <v>101</v>
      </c>
      <c r="AH414" s="81" t="s">
        <v>1005</v>
      </c>
      <c r="AI414" s="81" t="n">
        <f aca="false">120+83</f>
        <v>203</v>
      </c>
      <c r="AJ414" s="81" t="s">
        <v>1005</v>
      </c>
      <c r="AK414" s="81" t="n">
        <f aca="false">146+93</f>
        <v>239</v>
      </c>
      <c r="AL414" s="81" t="s">
        <v>1005</v>
      </c>
      <c r="AM414" s="81" t="n">
        <f aca="false">O414+Q414+S414+U414+W414+Y414+AA414+AC414+AE414+AG414+AI414+AK414</f>
        <v>1588</v>
      </c>
    </row>
    <row collapsed="false" customFormat="false" customHeight="true" hidden="false" ht="16.2" outlineLevel="0" r="415">
      <c r="A415" s="80" t="n">
        <v>212</v>
      </c>
      <c r="B415" s="81" t="s">
        <v>344</v>
      </c>
      <c r="C415" s="82" t="s">
        <v>1033</v>
      </c>
      <c r="D415" s="82" t="s">
        <v>1034</v>
      </c>
      <c r="E415" s="83" t="s">
        <v>1035</v>
      </c>
      <c r="F415" s="84" t="s">
        <v>1036</v>
      </c>
      <c r="G415" s="85"/>
      <c r="H415" s="85"/>
      <c r="I415" s="85"/>
      <c r="J415" s="85"/>
      <c r="K415" s="86" t="s">
        <v>53</v>
      </c>
      <c r="L415" s="86" t="s">
        <v>53</v>
      </c>
      <c r="M415" s="90"/>
      <c r="N415" s="90"/>
      <c r="O415" s="90"/>
      <c r="P415" s="90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90"/>
      <c r="AF415" s="81"/>
      <c r="AG415" s="81"/>
      <c r="AH415" s="81"/>
      <c r="AI415" s="81"/>
      <c r="AJ415" s="81"/>
      <c r="AK415" s="81"/>
      <c r="AL415" s="81"/>
      <c r="AM415" s="81" t="n">
        <f aca="false">O415+Q415+S415+U415+W415+Y415+AA415+AC415+AE415+AG415+AI415+AK415</f>
        <v>0</v>
      </c>
    </row>
    <row collapsed="false" customFormat="false" customHeight="true" hidden="false" ht="16.2" outlineLevel="0" r="416">
      <c r="A416" s="80"/>
      <c r="B416" s="89"/>
      <c r="C416" s="85"/>
      <c r="D416" s="85"/>
      <c r="E416" s="83" t="s">
        <v>1037</v>
      </c>
      <c r="F416" s="84" t="s">
        <v>1036</v>
      </c>
      <c r="G416" s="85"/>
      <c r="H416" s="85"/>
      <c r="I416" s="85"/>
      <c r="J416" s="85"/>
      <c r="K416" s="86"/>
      <c r="L416" s="86"/>
      <c r="M416" s="90" t="n">
        <f aca="false">2246+1643</f>
        <v>3889</v>
      </c>
      <c r="N416" s="91" t="n">
        <f aca="false">2334+1633</f>
        <v>3967</v>
      </c>
      <c r="O416" s="90" t="n">
        <v>408</v>
      </c>
      <c r="P416" s="90" t="s">
        <v>1005</v>
      </c>
      <c r="Q416" s="81" t="n">
        <v>388</v>
      </c>
      <c r="R416" s="90" t="s">
        <v>1005</v>
      </c>
      <c r="S416" s="81" t="n">
        <v>312</v>
      </c>
      <c r="T416" s="81" t="s">
        <v>1005</v>
      </c>
      <c r="U416" s="81" t="n">
        <v>341</v>
      </c>
      <c r="V416" s="81" t="s">
        <v>1005</v>
      </c>
      <c r="W416" s="81" t="n">
        <v>232</v>
      </c>
      <c r="X416" s="81" t="s">
        <v>1005</v>
      </c>
      <c r="Y416" s="81" t="n">
        <v>112</v>
      </c>
      <c r="Z416" s="81" t="s">
        <v>1005</v>
      </c>
      <c r="AA416" s="81" t="n">
        <v>146</v>
      </c>
      <c r="AB416" s="81" t="s">
        <v>1005</v>
      </c>
      <c r="AC416" s="81" t="n">
        <v>205</v>
      </c>
      <c r="AD416" s="81" t="s">
        <v>1005</v>
      </c>
      <c r="AE416" s="90" t="n">
        <f aca="false">149+124</f>
        <v>273</v>
      </c>
      <c r="AF416" s="81" t="s">
        <v>1005</v>
      </c>
      <c r="AG416" s="81" t="n">
        <f aca="false">147+96</f>
        <v>243</v>
      </c>
      <c r="AH416" s="81" t="s">
        <v>1005</v>
      </c>
      <c r="AI416" s="81" t="n">
        <f aca="false">328+203</f>
        <v>531</v>
      </c>
      <c r="AJ416" s="81" t="s">
        <v>1005</v>
      </c>
      <c r="AK416" s="81" t="n">
        <f aca="false">281+159</f>
        <v>440</v>
      </c>
      <c r="AL416" s="81" t="s">
        <v>1005</v>
      </c>
      <c r="AM416" s="81" t="n">
        <f aca="false">O416+Q416+S416+U416+W416+Y416+AA416+AC416+AE416+AG416+AI416+AK416</f>
        <v>3631</v>
      </c>
    </row>
    <row collapsed="false" customFormat="false" customHeight="true" hidden="false" ht="16.2" outlineLevel="0" r="417">
      <c r="A417" s="80" t="n">
        <v>213</v>
      </c>
      <c r="B417" s="81" t="s">
        <v>345</v>
      </c>
      <c r="C417" s="82" t="s">
        <v>1033</v>
      </c>
      <c r="D417" s="82" t="s">
        <v>1034</v>
      </c>
      <c r="E417" s="83" t="s">
        <v>1035</v>
      </c>
      <c r="F417" s="84" t="s">
        <v>1036</v>
      </c>
      <c r="G417" s="85"/>
      <c r="H417" s="85"/>
      <c r="I417" s="85"/>
      <c r="J417" s="85"/>
      <c r="K417" s="86" t="s">
        <v>53</v>
      </c>
      <c r="L417" s="86" t="s">
        <v>53</v>
      </c>
      <c r="M417" s="90"/>
      <c r="N417" s="90"/>
      <c r="O417" s="90"/>
      <c r="P417" s="90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90"/>
      <c r="AF417" s="81"/>
      <c r="AG417" s="81"/>
      <c r="AH417" s="81"/>
      <c r="AI417" s="81"/>
      <c r="AJ417" s="81"/>
      <c r="AK417" s="81"/>
      <c r="AL417" s="81"/>
      <c r="AM417" s="81" t="n">
        <f aca="false">O417+Q417+S417+U417+W417+Y417+AA417+AC417+AE417+AG417+AI417+AK417</f>
        <v>0</v>
      </c>
    </row>
    <row collapsed="false" customFormat="false" customHeight="true" hidden="false" ht="16.2" outlineLevel="0" r="418">
      <c r="A418" s="80"/>
      <c r="B418" s="89"/>
      <c r="C418" s="85"/>
      <c r="D418" s="85"/>
      <c r="E418" s="83" t="s">
        <v>1037</v>
      </c>
      <c r="F418" s="84" t="s">
        <v>1036</v>
      </c>
      <c r="G418" s="85"/>
      <c r="H418" s="85"/>
      <c r="I418" s="85"/>
      <c r="J418" s="85"/>
      <c r="K418" s="86"/>
      <c r="L418" s="86"/>
      <c r="M418" s="90" t="n">
        <f aca="false">865+701</f>
        <v>1566</v>
      </c>
      <c r="N418" s="91" t="n">
        <f aca="false">997+735</f>
        <v>1732</v>
      </c>
      <c r="O418" s="90" t="n">
        <v>227</v>
      </c>
      <c r="P418" s="90" t="s">
        <v>1005</v>
      </c>
      <c r="Q418" s="81" t="n">
        <v>208</v>
      </c>
      <c r="R418" s="90" t="s">
        <v>1005</v>
      </c>
      <c r="S418" s="81" t="n">
        <v>112</v>
      </c>
      <c r="T418" s="81" t="s">
        <v>1005</v>
      </c>
      <c r="U418" s="81" t="n">
        <v>112</v>
      </c>
      <c r="V418" s="81" t="s">
        <v>1005</v>
      </c>
      <c r="W418" s="81" t="n">
        <v>162</v>
      </c>
      <c r="X418" s="81" t="s">
        <v>1005</v>
      </c>
      <c r="Y418" s="81" t="n">
        <v>46</v>
      </c>
      <c r="Z418" s="81" t="s">
        <v>1005</v>
      </c>
      <c r="AA418" s="81" t="n">
        <v>110</v>
      </c>
      <c r="AB418" s="81" t="s">
        <v>1005</v>
      </c>
      <c r="AC418" s="81" t="n">
        <v>119</v>
      </c>
      <c r="AD418" s="81" t="s">
        <v>1005</v>
      </c>
      <c r="AE418" s="90" t="n">
        <f aca="false">180</f>
        <v>180</v>
      </c>
      <c r="AF418" s="81" t="s">
        <v>1005</v>
      </c>
      <c r="AG418" s="81" t="n">
        <f aca="false">183</f>
        <v>183</v>
      </c>
      <c r="AH418" s="81" t="s">
        <v>1005</v>
      </c>
      <c r="AI418" s="81" t="n">
        <f aca="false">348</f>
        <v>348</v>
      </c>
      <c r="AJ418" s="81" t="s">
        <v>1005</v>
      </c>
      <c r="AK418" s="81" t="n">
        <f aca="false">361</f>
        <v>361</v>
      </c>
      <c r="AL418" s="81" t="s">
        <v>1005</v>
      </c>
      <c r="AM418" s="81" t="n">
        <f aca="false">O418+Q418+S418+U418+W418+Y418+AA418+AC418+AE418+AG418+AI418+AK418</f>
        <v>2168</v>
      </c>
    </row>
    <row collapsed="false" customFormat="false" customHeight="true" hidden="false" ht="16.2" outlineLevel="0" r="419">
      <c r="A419" s="80" t="n">
        <v>216</v>
      </c>
      <c r="B419" s="81" t="s">
        <v>348</v>
      </c>
      <c r="C419" s="82" t="s">
        <v>1033</v>
      </c>
      <c r="D419" s="82" t="s">
        <v>1034</v>
      </c>
      <c r="E419" s="83" t="s">
        <v>1035</v>
      </c>
      <c r="F419" s="84" t="s">
        <v>1036</v>
      </c>
      <c r="G419" s="85"/>
      <c r="H419" s="85"/>
      <c r="I419" s="85"/>
      <c r="J419" s="85"/>
      <c r="K419" s="86" t="s">
        <v>53</v>
      </c>
      <c r="L419" s="86" t="s">
        <v>53</v>
      </c>
      <c r="M419" s="90"/>
      <c r="N419" s="90"/>
      <c r="O419" s="90"/>
      <c r="P419" s="90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90"/>
      <c r="AF419" s="81"/>
      <c r="AG419" s="81"/>
      <c r="AH419" s="81"/>
      <c r="AI419" s="81"/>
      <c r="AJ419" s="81"/>
      <c r="AK419" s="81"/>
      <c r="AL419" s="81"/>
      <c r="AM419" s="81" t="n">
        <f aca="false">O419+Q419+S419+U419+W419+Y419+AA419+AC419+AE419+AG419+AI419+AK419</f>
        <v>0</v>
      </c>
    </row>
    <row collapsed="false" customFormat="false" customHeight="true" hidden="false" ht="16.2" outlineLevel="0" r="420">
      <c r="A420" s="80"/>
      <c r="B420" s="89"/>
      <c r="C420" s="85"/>
      <c r="D420" s="85"/>
      <c r="E420" s="83" t="s">
        <v>1037</v>
      </c>
      <c r="F420" s="84" t="s">
        <v>1036</v>
      </c>
      <c r="G420" s="85"/>
      <c r="H420" s="85"/>
      <c r="I420" s="85"/>
      <c r="J420" s="85"/>
      <c r="K420" s="86"/>
      <c r="L420" s="86"/>
      <c r="M420" s="90" t="n">
        <f aca="false">7840</f>
        <v>7840</v>
      </c>
      <c r="N420" s="91" t="n">
        <f aca="false">6540</f>
        <v>6540</v>
      </c>
      <c r="O420" s="90" t="n">
        <v>939</v>
      </c>
      <c r="P420" s="90" t="s">
        <v>1005</v>
      </c>
      <c r="Q420" s="81" t="n">
        <v>1074</v>
      </c>
      <c r="R420" s="90" t="s">
        <v>1005</v>
      </c>
      <c r="S420" s="81" t="n">
        <v>1189</v>
      </c>
      <c r="T420" s="81" t="s">
        <v>1061</v>
      </c>
      <c r="U420" s="81" t="n">
        <v>1189</v>
      </c>
      <c r="V420" s="81" t="s">
        <v>1061</v>
      </c>
      <c r="W420" s="81" t="n">
        <v>1068</v>
      </c>
      <c r="X420" s="81" t="s">
        <v>1005</v>
      </c>
      <c r="Y420" s="81" t="n">
        <v>687</v>
      </c>
      <c r="Z420" s="81" t="s">
        <v>1005</v>
      </c>
      <c r="AA420" s="81" t="n">
        <v>1137</v>
      </c>
      <c r="AB420" s="81" t="s">
        <v>1005</v>
      </c>
      <c r="AC420" s="81" t="n">
        <v>586</v>
      </c>
      <c r="AD420" s="81" t="s">
        <v>1005</v>
      </c>
      <c r="AE420" s="90" t="n">
        <f aca="false">693</f>
        <v>693</v>
      </c>
      <c r="AF420" s="81" t="s">
        <v>1005</v>
      </c>
      <c r="AG420" s="81" t="n">
        <f aca="false">785</f>
        <v>785</v>
      </c>
      <c r="AH420" s="81" t="s">
        <v>1005</v>
      </c>
      <c r="AI420" s="81" t="n">
        <f aca="false">877</f>
        <v>877</v>
      </c>
      <c r="AJ420" s="81" t="s">
        <v>1005</v>
      </c>
      <c r="AK420" s="81" t="n">
        <f aca="false">922</f>
        <v>922</v>
      </c>
      <c r="AL420" s="81" t="s">
        <v>1005</v>
      </c>
      <c r="AM420" s="81" t="n">
        <f aca="false">O420+Q420+S420+U420+W420+Y420+AA420+AC420+AE420+AG420+AI420+AK420</f>
        <v>11146</v>
      </c>
    </row>
    <row collapsed="false" customFormat="false" customHeight="true" hidden="false" ht="16.2" outlineLevel="0" r="421">
      <c r="A421" s="80" t="n">
        <v>217</v>
      </c>
      <c r="B421" s="81" t="s">
        <v>349</v>
      </c>
      <c r="C421" s="82" t="s">
        <v>1033</v>
      </c>
      <c r="D421" s="82" t="s">
        <v>1034</v>
      </c>
      <c r="E421" s="83" t="s">
        <v>1035</v>
      </c>
      <c r="F421" s="84" t="s">
        <v>1036</v>
      </c>
      <c r="G421" s="85"/>
      <c r="H421" s="85"/>
      <c r="I421" s="85"/>
      <c r="J421" s="85"/>
      <c r="K421" s="86" t="s">
        <v>53</v>
      </c>
      <c r="L421" s="86" t="s">
        <v>53</v>
      </c>
      <c r="M421" s="90"/>
      <c r="N421" s="90"/>
      <c r="O421" s="90"/>
      <c r="P421" s="90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90"/>
      <c r="AF421" s="81"/>
      <c r="AG421" s="81"/>
      <c r="AH421" s="81"/>
      <c r="AI421" s="81"/>
      <c r="AJ421" s="81"/>
      <c r="AK421" s="81"/>
      <c r="AL421" s="81"/>
      <c r="AM421" s="81" t="n">
        <f aca="false">O421+Q421+S421+U421+W421+Y421+AA421+AC421+AE421+AG421+AI421+AK421</f>
        <v>0</v>
      </c>
    </row>
    <row collapsed="false" customFormat="false" customHeight="true" hidden="false" ht="16.2" outlineLevel="0" r="422">
      <c r="A422" s="80"/>
      <c r="B422" s="89"/>
      <c r="C422" s="85"/>
      <c r="D422" s="85"/>
      <c r="E422" s="83" t="s">
        <v>1037</v>
      </c>
      <c r="F422" s="84" t="s">
        <v>1036</v>
      </c>
      <c r="G422" s="85"/>
      <c r="H422" s="85"/>
      <c r="I422" s="85"/>
      <c r="J422" s="85"/>
      <c r="K422" s="86"/>
      <c r="L422" s="86"/>
      <c r="M422" s="90" t="n">
        <f aca="false">2373+2737</f>
        <v>5110</v>
      </c>
      <c r="N422" s="91" t="n">
        <f aca="false">4421+3530</f>
        <v>7951</v>
      </c>
      <c r="O422" s="90" t="n">
        <v>653</v>
      </c>
      <c r="P422" s="90" t="s">
        <v>1005</v>
      </c>
      <c r="Q422" s="81" t="n">
        <v>481</v>
      </c>
      <c r="R422" s="90" t="s">
        <v>1005</v>
      </c>
      <c r="S422" s="81" t="n">
        <v>412</v>
      </c>
      <c r="T422" s="81" t="s">
        <v>1005</v>
      </c>
      <c r="U422" s="81" t="n">
        <v>1019</v>
      </c>
      <c r="V422" s="81" t="s">
        <v>1005</v>
      </c>
      <c r="W422" s="81" t="n">
        <v>332</v>
      </c>
      <c r="X422" s="81" t="s">
        <v>1005</v>
      </c>
      <c r="Y422" s="81" t="n">
        <v>71</v>
      </c>
      <c r="Z422" s="81" t="s">
        <v>1005</v>
      </c>
      <c r="AA422" s="81" t="n">
        <v>144</v>
      </c>
      <c r="AB422" s="81" t="s">
        <v>1005</v>
      </c>
      <c r="AC422" s="81" t="n">
        <v>282</v>
      </c>
      <c r="AD422" s="81" t="s">
        <v>1005</v>
      </c>
      <c r="AE422" s="90" t="n">
        <f aca="false">254+336</f>
        <v>590</v>
      </c>
      <c r="AF422" s="81" t="s">
        <v>1005</v>
      </c>
      <c r="AG422" s="81" t="n">
        <f aca="false">203+215</f>
        <v>418</v>
      </c>
      <c r="AH422" s="81" t="s">
        <v>1005</v>
      </c>
      <c r="AI422" s="81" t="n">
        <f aca="false">297+253</f>
        <v>550</v>
      </c>
      <c r="AJ422" s="81" t="s">
        <v>1005</v>
      </c>
      <c r="AK422" s="81" t="n">
        <f aca="false">362+273</f>
        <v>635</v>
      </c>
      <c r="AL422" s="81" t="s">
        <v>1005</v>
      </c>
      <c r="AM422" s="81" t="n">
        <f aca="false">O422+Q422+S422+U422+W422+Y422+AA422+AC422+AE422+AG422+AI422+AK422</f>
        <v>5587</v>
      </c>
    </row>
    <row collapsed="false" customFormat="false" customHeight="true" hidden="false" ht="16.2" outlineLevel="0" r="423">
      <c r="A423" s="80" t="n">
        <v>218</v>
      </c>
      <c r="B423" s="81" t="s">
        <v>350</v>
      </c>
      <c r="C423" s="82" t="s">
        <v>1033</v>
      </c>
      <c r="D423" s="82" t="s">
        <v>1034</v>
      </c>
      <c r="E423" s="83" t="s">
        <v>1035</v>
      </c>
      <c r="F423" s="84" t="s">
        <v>1036</v>
      </c>
      <c r="G423" s="85"/>
      <c r="H423" s="85"/>
      <c r="I423" s="85"/>
      <c r="J423" s="85"/>
      <c r="K423" s="86" t="s">
        <v>53</v>
      </c>
      <c r="L423" s="86" t="s">
        <v>53</v>
      </c>
      <c r="M423" s="90"/>
      <c r="N423" s="90"/>
      <c r="O423" s="90"/>
      <c r="P423" s="90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90"/>
      <c r="AF423" s="81"/>
      <c r="AG423" s="81"/>
      <c r="AH423" s="81"/>
      <c r="AI423" s="81"/>
      <c r="AJ423" s="81"/>
      <c r="AK423" s="81"/>
      <c r="AL423" s="81"/>
      <c r="AM423" s="81" t="n">
        <f aca="false">O423+Q423+S423+U423+W423+Y423+AA423+AC423+AE423+AG423+AI423+AK423</f>
        <v>0</v>
      </c>
    </row>
    <row collapsed="false" customFormat="false" customHeight="true" hidden="false" ht="16.2" outlineLevel="0" r="424">
      <c r="A424" s="80"/>
      <c r="B424" s="89"/>
      <c r="C424" s="85"/>
      <c r="D424" s="85"/>
      <c r="E424" s="83" t="s">
        <v>1037</v>
      </c>
      <c r="F424" s="84" t="s">
        <v>1036</v>
      </c>
      <c r="G424" s="85"/>
      <c r="H424" s="85"/>
      <c r="I424" s="85"/>
      <c r="J424" s="85"/>
      <c r="K424" s="86"/>
      <c r="L424" s="86"/>
      <c r="M424" s="90" t="n">
        <f aca="false">3490+3872</f>
        <v>7362</v>
      </c>
      <c r="N424" s="91" t="n">
        <f aca="false">3633+5762</f>
        <v>9395</v>
      </c>
      <c r="O424" s="90" t="n">
        <v>1002</v>
      </c>
      <c r="P424" s="90" t="s">
        <v>1005</v>
      </c>
      <c r="Q424" s="81" t="n">
        <v>1068</v>
      </c>
      <c r="R424" s="90" t="s">
        <v>1005</v>
      </c>
      <c r="S424" s="81" t="n">
        <v>1183</v>
      </c>
      <c r="T424" s="81" t="s">
        <v>1061</v>
      </c>
      <c r="U424" s="81" t="n">
        <v>1183</v>
      </c>
      <c r="V424" s="81" t="s">
        <v>1061</v>
      </c>
      <c r="W424" s="81" t="n">
        <v>1084</v>
      </c>
      <c r="X424" s="81" t="s">
        <v>1005</v>
      </c>
      <c r="Y424" s="81" t="n">
        <v>525</v>
      </c>
      <c r="Z424" s="81" t="s">
        <v>1005</v>
      </c>
      <c r="AA424" s="81" t="n">
        <v>671</v>
      </c>
      <c r="AB424" s="81" t="s">
        <v>1005</v>
      </c>
      <c r="AC424" s="81" t="n">
        <v>298</v>
      </c>
      <c r="AD424" s="81" t="s">
        <v>1005</v>
      </c>
      <c r="AE424" s="90" t="n">
        <f aca="false">722</f>
        <v>722</v>
      </c>
      <c r="AF424" s="81" t="s">
        <v>1005</v>
      </c>
      <c r="AG424" s="81" t="n">
        <f aca="false">720</f>
        <v>720</v>
      </c>
      <c r="AH424" s="81" t="s">
        <v>1005</v>
      </c>
      <c r="AI424" s="81" t="n">
        <f aca="false">11041</f>
        <v>11041</v>
      </c>
      <c r="AJ424" s="81" t="s">
        <v>1005</v>
      </c>
      <c r="AK424" s="81" t="n">
        <f aca="false">1170</f>
        <v>1170</v>
      </c>
      <c r="AL424" s="81" t="s">
        <v>1005</v>
      </c>
      <c r="AM424" s="81" t="n">
        <f aca="false">O424+Q424+S424+U424+W424+Y424+AA424+AC424+AE424+AG424+AI424+AK424</f>
        <v>20667</v>
      </c>
    </row>
    <row collapsed="false" customFormat="false" customHeight="true" hidden="false" ht="16.2" outlineLevel="0" r="425">
      <c r="A425" s="80" t="n">
        <v>219</v>
      </c>
      <c r="B425" s="81" t="s">
        <v>351</v>
      </c>
      <c r="C425" s="82" t="s">
        <v>1033</v>
      </c>
      <c r="D425" s="82" t="s">
        <v>1034</v>
      </c>
      <c r="E425" s="83" t="s">
        <v>1035</v>
      </c>
      <c r="F425" s="84" t="s">
        <v>1036</v>
      </c>
      <c r="G425" s="85"/>
      <c r="H425" s="85"/>
      <c r="I425" s="85"/>
      <c r="J425" s="85"/>
      <c r="K425" s="86" t="s">
        <v>53</v>
      </c>
      <c r="L425" s="86" t="s">
        <v>53</v>
      </c>
      <c r="M425" s="90"/>
      <c r="N425" s="90"/>
      <c r="O425" s="90"/>
      <c r="P425" s="90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90"/>
      <c r="AF425" s="81"/>
      <c r="AG425" s="81"/>
      <c r="AH425" s="81"/>
      <c r="AI425" s="81"/>
      <c r="AJ425" s="81"/>
      <c r="AK425" s="81"/>
      <c r="AL425" s="81"/>
      <c r="AM425" s="81" t="n">
        <f aca="false">O425+Q425+S425+U425+W425+Y425+AA425+AC425+AE425+AG425+AI425+AK425</f>
        <v>0</v>
      </c>
    </row>
    <row collapsed="false" customFormat="false" customHeight="true" hidden="false" ht="16.2" outlineLevel="0" r="426">
      <c r="A426" s="80"/>
      <c r="B426" s="89"/>
      <c r="C426" s="85"/>
      <c r="D426" s="85"/>
      <c r="E426" s="83" t="s">
        <v>1037</v>
      </c>
      <c r="F426" s="84" t="s">
        <v>1036</v>
      </c>
      <c r="G426" s="85"/>
      <c r="H426" s="85"/>
      <c r="I426" s="85"/>
      <c r="J426" s="85"/>
      <c r="K426" s="86"/>
      <c r="L426" s="86"/>
      <c r="M426" s="90" t="n">
        <f aca="false">3462+3299</f>
        <v>6761</v>
      </c>
      <c r="N426" s="91" t="n">
        <f aca="false">5328+3978</f>
        <v>9306</v>
      </c>
      <c r="O426" s="90" t="n">
        <v>793</v>
      </c>
      <c r="P426" s="90" t="s">
        <v>1005</v>
      </c>
      <c r="Q426" s="81" t="n">
        <v>786</v>
      </c>
      <c r="R426" s="90" t="s">
        <v>1005</v>
      </c>
      <c r="S426" s="81" t="n">
        <v>677</v>
      </c>
      <c r="T426" s="81" t="s">
        <v>1005</v>
      </c>
      <c r="U426" s="81" t="n">
        <v>836</v>
      </c>
      <c r="V426" s="81" t="s">
        <v>1005</v>
      </c>
      <c r="W426" s="81" t="n">
        <v>544</v>
      </c>
      <c r="X426" s="81" t="s">
        <v>1005</v>
      </c>
      <c r="Y426" s="81" t="n">
        <v>349</v>
      </c>
      <c r="Z426" s="81" t="s">
        <v>1005</v>
      </c>
      <c r="AA426" s="81" t="n">
        <v>166</v>
      </c>
      <c r="AB426" s="81" t="s">
        <v>1005</v>
      </c>
      <c r="AC426" s="81" t="n">
        <v>302</v>
      </c>
      <c r="AD426" s="81" t="s">
        <v>1005</v>
      </c>
      <c r="AE426" s="90" t="n">
        <f aca="false">299+344</f>
        <v>643</v>
      </c>
      <c r="AF426" s="81" t="s">
        <v>1005</v>
      </c>
      <c r="AG426" s="81" t="n">
        <f aca="false">384+358</f>
        <v>742</v>
      </c>
      <c r="AH426" s="81" t="s">
        <v>1005</v>
      </c>
      <c r="AI426" s="81" t="n">
        <f aca="false">559+470</f>
        <v>1029</v>
      </c>
      <c r="AJ426" s="81" t="s">
        <v>1005</v>
      </c>
      <c r="AK426" s="81" t="n">
        <f aca="false">575+435</f>
        <v>1010</v>
      </c>
      <c r="AL426" s="81" t="s">
        <v>1005</v>
      </c>
      <c r="AM426" s="81" t="n">
        <f aca="false">O426+Q426+S426+U426+W426+Y426+AA426+AC426+AE426+AG426+AI426+AK426</f>
        <v>7877</v>
      </c>
    </row>
    <row collapsed="false" customFormat="false" customHeight="true" hidden="false" ht="16.2" outlineLevel="0" r="427">
      <c r="A427" s="80" t="n">
        <v>220</v>
      </c>
      <c r="B427" s="81" t="s">
        <v>352</v>
      </c>
      <c r="C427" s="82" t="s">
        <v>1033</v>
      </c>
      <c r="D427" s="82" t="s">
        <v>1034</v>
      </c>
      <c r="E427" s="83" t="s">
        <v>1035</v>
      </c>
      <c r="F427" s="84" t="s">
        <v>1036</v>
      </c>
      <c r="G427" s="85"/>
      <c r="H427" s="85"/>
      <c r="I427" s="85"/>
      <c r="J427" s="85"/>
      <c r="K427" s="86" t="s">
        <v>53</v>
      </c>
      <c r="L427" s="86" t="s">
        <v>53</v>
      </c>
      <c r="M427" s="90"/>
      <c r="N427" s="90"/>
      <c r="O427" s="90"/>
      <c r="P427" s="90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90"/>
      <c r="AF427" s="81"/>
      <c r="AG427" s="81"/>
      <c r="AH427" s="81"/>
      <c r="AI427" s="81"/>
      <c r="AJ427" s="81"/>
      <c r="AK427" s="81"/>
      <c r="AL427" s="81"/>
      <c r="AM427" s="81" t="n">
        <f aca="false">O427+Q427+S427+U427+W427+Y427+AA427+AC427+AE427+AG427+AI427+AK427</f>
        <v>0</v>
      </c>
    </row>
    <row collapsed="false" customFormat="false" customHeight="true" hidden="false" ht="16.2" outlineLevel="0" r="428">
      <c r="A428" s="80"/>
      <c r="B428" s="89"/>
      <c r="C428" s="85"/>
      <c r="D428" s="85"/>
      <c r="E428" s="83" t="s">
        <v>1037</v>
      </c>
      <c r="F428" s="84" t="s">
        <v>1036</v>
      </c>
      <c r="G428" s="85"/>
      <c r="H428" s="85"/>
      <c r="I428" s="85"/>
      <c r="J428" s="85"/>
      <c r="K428" s="86"/>
      <c r="L428" s="86"/>
      <c r="M428" s="90" t="n">
        <f aca="false">2389+1862</f>
        <v>4251</v>
      </c>
      <c r="N428" s="91" t="n">
        <f aca="false">3465+2863</f>
        <v>6328</v>
      </c>
      <c r="O428" s="90" t="n">
        <v>571</v>
      </c>
      <c r="P428" s="90" t="s">
        <v>1005</v>
      </c>
      <c r="Q428" s="81" t="n">
        <v>552</v>
      </c>
      <c r="R428" s="90" t="s">
        <v>1005</v>
      </c>
      <c r="S428" s="81" t="n">
        <v>130</v>
      </c>
      <c r="T428" s="81" t="s">
        <v>1005</v>
      </c>
      <c r="U428" s="81" t="n">
        <v>130</v>
      </c>
      <c r="V428" s="81" t="s">
        <v>1005</v>
      </c>
      <c r="W428" s="81" t="n">
        <v>67</v>
      </c>
      <c r="X428" s="81" t="s">
        <v>1005</v>
      </c>
      <c r="Y428" s="81" t="n">
        <v>212</v>
      </c>
      <c r="Z428" s="81" t="s">
        <v>1005</v>
      </c>
      <c r="AA428" s="81" t="n">
        <v>235</v>
      </c>
      <c r="AB428" s="81" t="s">
        <v>1005</v>
      </c>
      <c r="AC428" s="81" t="n">
        <v>262</v>
      </c>
      <c r="AD428" s="81" t="s">
        <v>1005</v>
      </c>
      <c r="AE428" s="90" t="n">
        <f aca="false">195+168</f>
        <v>363</v>
      </c>
      <c r="AF428" s="81" t="s">
        <v>1005</v>
      </c>
      <c r="AG428" s="81" t="n">
        <f aca="false">243+180</f>
        <v>423</v>
      </c>
      <c r="AH428" s="81" t="s">
        <v>1005</v>
      </c>
      <c r="AI428" s="81" t="n">
        <f aca="false">460+298</f>
        <v>758</v>
      </c>
      <c r="AJ428" s="81" t="s">
        <v>1005</v>
      </c>
      <c r="AK428" s="81" t="n">
        <f aca="false">471+269</f>
        <v>740</v>
      </c>
      <c r="AL428" s="81" t="s">
        <v>1005</v>
      </c>
      <c r="AM428" s="81" t="n">
        <f aca="false">O428+Q428+S428+U428+W428+Y428+AA428+AC428+AE428+AG428+AI428+AK428</f>
        <v>4443</v>
      </c>
    </row>
    <row collapsed="false" customFormat="false" customHeight="true" hidden="false" ht="16.2" outlineLevel="0" r="429">
      <c r="A429" s="80" t="n">
        <v>221</v>
      </c>
      <c r="B429" s="81" t="s">
        <v>353</v>
      </c>
      <c r="C429" s="82" t="s">
        <v>1033</v>
      </c>
      <c r="D429" s="82" t="s">
        <v>1034</v>
      </c>
      <c r="E429" s="83" t="s">
        <v>1035</v>
      </c>
      <c r="F429" s="84" t="s">
        <v>1036</v>
      </c>
      <c r="G429" s="85"/>
      <c r="H429" s="85"/>
      <c r="I429" s="85"/>
      <c r="J429" s="85"/>
      <c r="K429" s="86" t="s">
        <v>53</v>
      </c>
      <c r="L429" s="86" t="s">
        <v>53</v>
      </c>
      <c r="M429" s="90"/>
      <c r="N429" s="90"/>
      <c r="O429" s="90"/>
      <c r="P429" s="90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90"/>
      <c r="AF429" s="81"/>
      <c r="AG429" s="81"/>
      <c r="AH429" s="81"/>
      <c r="AI429" s="81"/>
      <c r="AJ429" s="81"/>
      <c r="AK429" s="81"/>
      <c r="AL429" s="81"/>
      <c r="AM429" s="81" t="n">
        <f aca="false">O429+Q429+S429+U429+W429+Y429+AA429+AC429+AE429+AG429+AI429+AK429</f>
        <v>0</v>
      </c>
    </row>
    <row collapsed="false" customFormat="false" customHeight="true" hidden="false" ht="16.2" outlineLevel="0" r="430">
      <c r="A430" s="80"/>
      <c r="B430" s="89"/>
      <c r="C430" s="85"/>
      <c r="D430" s="85"/>
      <c r="E430" s="83" t="s">
        <v>1037</v>
      </c>
      <c r="F430" s="84" t="s">
        <v>1036</v>
      </c>
      <c r="G430" s="85"/>
      <c r="H430" s="85"/>
      <c r="I430" s="85"/>
      <c r="J430" s="85"/>
      <c r="K430" s="86"/>
      <c r="L430" s="86"/>
      <c r="M430" s="90" t="n">
        <f aca="false">2363+2012</f>
        <v>4375</v>
      </c>
      <c r="N430" s="91" t="n">
        <f aca="false">2592+2452</f>
        <v>5044</v>
      </c>
      <c r="O430" s="90" t="n">
        <v>591</v>
      </c>
      <c r="P430" s="90" t="s">
        <v>1005</v>
      </c>
      <c r="Q430" s="81" t="n">
        <v>536</v>
      </c>
      <c r="R430" s="90" t="s">
        <v>1005</v>
      </c>
      <c r="S430" s="81" t="n">
        <v>168</v>
      </c>
      <c r="T430" s="81" t="s">
        <v>1005</v>
      </c>
      <c r="U430" s="81" t="n">
        <v>168</v>
      </c>
      <c r="V430" s="81" t="s">
        <v>1005</v>
      </c>
      <c r="W430" s="81" t="n">
        <v>89</v>
      </c>
      <c r="X430" s="81" t="s">
        <v>1005</v>
      </c>
      <c r="Y430" s="81" t="n">
        <v>237</v>
      </c>
      <c r="Z430" s="81" t="s">
        <v>1005</v>
      </c>
      <c r="AA430" s="81" t="n">
        <v>181</v>
      </c>
      <c r="AB430" s="81" t="s">
        <v>1005</v>
      </c>
      <c r="AC430" s="81" t="n">
        <v>351</v>
      </c>
      <c r="AD430" s="81" t="s">
        <v>1005</v>
      </c>
      <c r="AE430" s="90" t="n">
        <f aca="false">247+251</f>
        <v>498</v>
      </c>
      <c r="AF430" s="81" t="s">
        <v>1005</v>
      </c>
      <c r="AG430" s="81" t="n">
        <f aca="false">239+207</f>
        <v>446</v>
      </c>
      <c r="AH430" s="81" t="s">
        <v>1005</v>
      </c>
      <c r="AI430" s="81" t="n">
        <f aca="false">436+314</f>
        <v>750</v>
      </c>
      <c r="AJ430" s="81" t="s">
        <v>1005</v>
      </c>
      <c r="AK430" s="81" t="n">
        <f aca="false">423+273</f>
        <v>696</v>
      </c>
      <c r="AL430" s="81" t="s">
        <v>1005</v>
      </c>
      <c r="AM430" s="81" t="n">
        <f aca="false">O430+Q430+S430+U430+W430+Y430+AA430+AC430+AE430+AG430+AI430+AK430</f>
        <v>4711</v>
      </c>
    </row>
    <row collapsed="false" customFormat="false" customHeight="true" hidden="false" ht="16.2" outlineLevel="0" r="431">
      <c r="A431" s="80" t="n">
        <v>222</v>
      </c>
      <c r="B431" s="81" t="s">
        <v>355</v>
      </c>
      <c r="C431" s="82" t="s">
        <v>1033</v>
      </c>
      <c r="D431" s="82" t="s">
        <v>1034</v>
      </c>
      <c r="E431" s="83" t="s">
        <v>1035</v>
      </c>
      <c r="F431" s="84" t="s">
        <v>1036</v>
      </c>
      <c r="G431" s="85"/>
      <c r="H431" s="85"/>
      <c r="I431" s="85"/>
      <c r="J431" s="85"/>
      <c r="K431" s="86" t="s">
        <v>53</v>
      </c>
      <c r="L431" s="86" t="s">
        <v>53</v>
      </c>
      <c r="M431" s="90"/>
      <c r="N431" s="90"/>
      <c r="O431" s="90"/>
      <c r="P431" s="90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90"/>
      <c r="AF431" s="81"/>
      <c r="AG431" s="81"/>
      <c r="AH431" s="81"/>
      <c r="AI431" s="81"/>
      <c r="AJ431" s="81"/>
      <c r="AK431" s="81"/>
      <c r="AL431" s="81"/>
      <c r="AM431" s="81" t="n">
        <f aca="false">O431+Q431+S431+U431+W431+Y431+AA431+AC431+AE431+AG431+AI431+AK431</f>
        <v>0</v>
      </c>
    </row>
    <row collapsed="false" customFormat="false" customHeight="true" hidden="false" ht="16.2" outlineLevel="0" r="432">
      <c r="A432" s="80"/>
      <c r="B432" s="89"/>
      <c r="C432" s="85"/>
      <c r="D432" s="85"/>
      <c r="E432" s="83" t="s">
        <v>1037</v>
      </c>
      <c r="F432" s="84" t="s">
        <v>1036</v>
      </c>
      <c r="G432" s="85"/>
      <c r="H432" s="85"/>
      <c r="I432" s="85"/>
      <c r="J432" s="85"/>
      <c r="K432" s="86"/>
      <c r="L432" s="86"/>
      <c r="M432" s="90" t="n">
        <f aca="false">3056+4366</f>
        <v>7422</v>
      </c>
      <c r="N432" s="90" t="n">
        <f aca="false">2972+3480</f>
        <v>6452</v>
      </c>
      <c r="O432" s="90" t="n">
        <v>709</v>
      </c>
      <c r="P432" s="90" t="s">
        <v>1005</v>
      </c>
      <c r="Q432" s="81" t="n">
        <v>769</v>
      </c>
      <c r="R432" s="90" t="s">
        <v>1005</v>
      </c>
      <c r="S432" s="81" t="n">
        <v>683</v>
      </c>
      <c r="T432" s="81" t="s">
        <v>1061</v>
      </c>
      <c r="U432" s="81" t="n">
        <v>683</v>
      </c>
      <c r="V432" s="81" t="s">
        <v>1061</v>
      </c>
      <c r="W432" s="81" t="n">
        <v>317</v>
      </c>
      <c r="X432" s="81" t="s">
        <v>1005</v>
      </c>
      <c r="Y432" s="81" t="n">
        <v>100</v>
      </c>
      <c r="Z432" s="81" t="s">
        <v>1005</v>
      </c>
      <c r="AA432" s="81" t="n">
        <v>1</v>
      </c>
      <c r="AB432" s="81" t="s">
        <v>1005</v>
      </c>
      <c r="AC432" s="81" t="n">
        <v>1</v>
      </c>
      <c r="AD432" s="81" t="s">
        <v>1005</v>
      </c>
      <c r="AE432" s="90" t="n">
        <v>1</v>
      </c>
      <c r="AF432" s="81" t="s">
        <v>1005</v>
      </c>
      <c r="AG432" s="81" t="n">
        <v>1</v>
      </c>
      <c r="AH432" s="81" t="s">
        <v>1005</v>
      </c>
      <c r="AI432" s="81" t="n">
        <v>5</v>
      </c>
      <c r="AJ432" s="81" t="s">
        <v>1005</v>
      </c>
      <c r="AK432" s="81" t="n">
        <f aca="false">30</f>
        <v>30</v>
      </c>
      <c r="AL432" s="81" t="s">
        <v>1005</v>
      </c>
      <c r="AM432" s="81" t="n">
        <f aca="false">O432+Q432+S432+U432+W432+Y432+AA432+AC432+AE432+AG432+AI432+AK432</f>
        <v>3300</v>
      </c>
    </row>
    <row collapsed="false" customFormat="false" customHeight="true" hidden="false" ht="16.2" outlineLevel="0" r="433">
      <c r="A433" s="80" t="n">
        <v>223</v>
      </c>
      <c r="B433" s="81" t="s">
        <v>356</v>
      </c>
      <c r="C433" s="82" t="s">
        <v>1033</v>
      </c>
      <c r="D433" s="82" t="s">
        <v>1034</v>
      </c>
      <c r="E433" s="83" t="s">
        <v>1035</v>
      </c>
      <c r="F433" s="84" t="s">
        <v>1036</v>
      </c>
      <c r="G433" s="85"/>
      <c r="H433" s="85"/>
      <c r="I433" s="85"/>
      <c r="J433" s="85"/>
      <c r="K433" s="86" t="s">
        <v>53</v>
      </c>
      <c r="L433" s="86" t="s">
        <v>53</v>
      </c>
      <c r="M433" s="90"/>
      <c r="N433" s="90"/>
      <c r="O433" s="90"/>
      <c r="P433" s="90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90"/>
      <c r="AF433" s="81"/>
      <c r="AG433" s="81"/>
      <c r="AH433" s="81"/>
      <c r="AI433" s="81"/>
      <c r="AJ433" s="81"/>
      <c r="AK433" s="81"/>
      <c r="AL433" s="81"/>
      <c r="AM433" s="81" t="n">
        <f aca="false">O433+Q433+S433+U433+W433+Y433+AA433+AC433+AE433+AG433+AI433+AK433</f>
        <v>0</v>
      </c>
    </row>
    <row collapsed="false" customFormat="false" customHeight="true" hidden="false" ht="16.2" outlineLevel="0" r="434">
      <c r="A434" s="80"/>
      <c r="B434" s="89"/>
      <c r="C434" s="85"/>
      <c r="D434" s="85"/>
      <c r="E434" s="83" t="s">
        <v>1037</v>
      </c>
      <c r="F434" s="84" t="s">
        <v>1036</v>
      </c>
      <c r="G434" s="85"/>
      <c r="H434" s="85"/>
      <c r="I434" s="85"/>
      <c r="J434" s="85"/>
      <c r="K434" s="86"/>
      <c r="L434" s="86"/>
      <c r="M434" s="90" t="n">
        <f aca="false">2532+2178</f>
        <v>4710</v>
      </c>
      <c r="N434" s="91" t="n">
        <f aca="false">4324+2756</f>
        <v>7080</v>
      </c>
      <c r="O434" s="90" t="n">
        <v>653</v>
      </c>
      <c r="P434" s="90" t="s">
        <v>1005</v>
      </c>
      <c r="Q434" s="81" t="n">
        <v>696</v>
      </c>
      <c r="R434" s="90" t="s">
        <v>1005</v>
      </c>
      <c r="S434" s="81" t="n">
        <v>575</v>
      </c>
      <c r="T434" s="81" t="s">
        <v>1005</v>
      </c>
      <c r="U434" s="81" t="n">
        <v>468</v>
      </c>
      <c r="V434" s="81" t="s">
        <v>1005</v>
      </c>
      <c r="W434" s="81" t="n">
        <v>396</v>
      </c>
      <c r="X434" s="81" t="s">
        <v>1005</v>
      </c>
      <c r="Y434" s="81" t="n">
        <v>150</v>
      </c>
      <c r="Z434" s="81" t="s">
        <v>1005</v>
      </c>
      <c r="AA434" s="81" t="n">
        <v>191</v>
      </c>
      <c r="AB434" s="81" t="s">
        <v>1005</v>
      </c>
      <c r="AC434" s="81" t="n">
        <v>474</v>
      </c>
      <c r="AD434" s="81" t="s">
        <v>1005</v>
      </c>
      <c r="AE434" s="90" t="n">
        <f aca="false">257+258</f>
        <v>515</v>
      </c>
      <c r="AF434" s="81" t="s">
        <v>1005</v>
      </c>
      <c r="AG434" s="81" t="n">
        <f aca="false">286+241</f>
        <v>527</v>
      </c>
      <c r="AH434" s="81" t="s">
        <v>1005</v>
      </c>
      <c r="AI434" s="81" t="n">
        <f aca="false">375+281</f>
        <v>656</v>
      </c>
      <c r="AJ434" s="81" t="s">
        <v>1005</v>
      </c>
      <c r="AK434" s="81" t="n">
        <f aca="false">414+283</f>
        <v>697</v>
      </c>
      <c r="AL434" s="81" t="s">
        <v>1005</v>
      </c>
      <c r="AM434" s="81" t="n">
        <f aca="false">O434+Q434+S434+U434+W434+Y434+AA434+AC434+AE434+AG434+AI434+AK434</f>
        <v>5998</v>
      </c>
    </row>
    <row collapsed="false" customFormat="false" customHeight="true" hidden="false" ht="16.2" outlineLevel="0" r="435">
      <c r="A435" s="80" t="n">
        <v>224</v>
      </c>
      <c r="B435" s="81" t="s">
        <v>357</v>
      </c>
      <c r="C435" s="82" t="s">
        <v>1033</v>
      </c>
      <c r="D435" s="82" t="s">
        <v>1034</v>
      </c>
      <c r="E435" s="83" t="s">
        <v>1035</v>
      </c>
      <c r="F435" s="84" t="s">
        <v>1036</v>
      </c>
      <c r="G435" s="85"/>
      <c r="H435" s="85"/>
      <c r="I435" s="85"/>
      <c r="J435" s="85"/>
      <c r="K435" s="86" t="s">
        <v>53</v>
      </c>
      <c r="L435" s="86" t="s">
        <v>53</v>
      </c>
      <c r="M435" s="90"/>
      <c r="N435" s="90"/>
      <c r="O435" s="90"/>
      <c r="P435" s="90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90"/>
      <c r="AF435" s="81"/>
      <c r="AG435" s="81"/>
      <c r="AH435" s="81"/>
      <c r="AI435" s="81"/>
      <c r="AJ435" s="81"/>
      <c r="AK435" s="81"/>
      <c r="AL435" s="81"/>
      <c r="AM435" s="81" t="n">
        <f aca="false">O435+Q435+S435+U435+W435+Y435+AA435+AC435+AE435+AG435+AI435+AK435</f>
        <v>0</v>
      </c>
    </row>
    <row collapsed="false" customFormat="false" customHeight="true" hidden="false" ht="16.2" outlineLevel="0" r="436">
      <c r="A436" s="80"/>
      <c r="B436" s="89"/>
      <c r="C436" s="85"/>
      <c r="D436" s="85"/>
      <c r="E436" s="83" t="s">
        <v>1037</v>
      </c>
      <c r="F436" s="84" t="s">
        <v>1036</v>
      </c>
      <c r="G436" s="85"/>
      <c r="H436" s="85"/>
      <c r="I436" s="85"/>
      <c r="J436" s="85"/>
      <c r="K436" s="86"/>
      <c r="L436" s="86"/>
      <c r="M436" s="90" t="n">
        <f aca="false">1236+1130</f>
        <v>2366</v>
      </c>
      <c r="N436" s="91" t="n">
        <f aca="false">2114+1006</f>
        <v>3120</v>
      </c>
      <c r="O436" s="90" t="n">
        <v>352</v>
      </c>
      <c r="P436" s="90" t="s">
        <v>1005</v>
      </c>
      <c r="Q436" s="81" t="n">
        <v>362</v>
      </c>
      <c r="R436" s="90" t="s">
        <v>1005</v>
      </c>
      <c r="S436" s="81" t="n">
        <v>316</v>
      </c>
      <c r="T436" s="81" t="s">
        <v>1005</v>
      </c>
      <c r="U436" s="81" t="n">
        <v>264</v>
      </c>
      <c r="V436" s="81" t="s">
        <v>1005</v>
      </c>
      <c r="W436" s="81" t="n">
        <v>205</v>
      </c>
      <c r="X436" s="81" t="s">
        <v>1005</v>
      </c>
      <c r="Y436" s="81" t="n">
        <v>93</v>
      </c>
      <c r="Z436" s="81" t="s">
        <v>1005</v>
      </c>
      <c r="AA436" s="81" t="n">
        <v>152</v>
      </c>
      <c r="AB436" s="81" t="s">
        <v>1005</v>
      </c>
      <c r="AC436" s="81" t="n">
        <v>238</v>
      </c>
      <c r="AD436" s="81" t="s">
        <v>1005</v>
      </c>
      <c r="AE436" s="90" t="n">
        <f aca="false">125+138</f>
        <v>263</v>
      </c>
      <c r="AF436" s="81" t="s">
        <v>1005</v>
      </c>
      <c r="AG436" s="81" t="n">
        <f aca="false">162+149</f>
        <v>311</v>
      </c>
      <c r="AH436" s="81" t="s">
        <v>1005</v>
      </c>
      <c r="AI436" s="81" t="n">
        <f aca="false">245+186</f>
        <v>431</v>
      </c>
      <c r="AJ436" s="81" t="s">
        <v>1005</v>
      </c>
      <c r="AK436" s="81" t="n">
        <f aca="false">254+171</f>
        <v>425</v>
      </c>
      <c r="AL436" s="81" t="s">
        <v>1005</v>
      </c>
      <c r="AM436" s="81" t="n">
        <f aca="false">O436+Q436+S436+U436+W436+Y436+AA436+AC436+AE436+AG436+AI436+AK436</f>
        <v>3412</v>
      </c>
    </row>
    <row collapsed="false" customFormat="false" customHeight="true" hidden="false" ht="16.2" outlineLevel="0" r="437">
      <c r="A437" s="80" t="n">
        <v>225</v>
      </c>
      <c r="B437" s="81" t="s">
        <v>358</v>
      </c>
      <c r="C437" s="82" t="s">
        <v>1033</v>
      </c>
      <c r="D437" s="82" t="s">
        <v>1034</v>
      </c>
      <c r="E437" s="83" t="s">
        <v>1035</v>
      </c>
      <c r="F437" s="84" t="s">
        <v>1036</v>
      </c>
      <c r="G437" s="85"/>
      <c r="H437" s="85"/>
      <c r="I437" s="85"/>
      <c r="J437" s="85"/>
      <c r="K437" s="86" t="s">
        <v>53</v>
      </c>
      <c r="L437" s="86" t="s">
        <v>53</v>
      </c>
      <c r="M437" s="90"/>
      <c r="N437" s="90"/>
      <c r="O437" s="90"/>
      <c r="P437" s="90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90"/>
      <c r="AF437" s="81"/>
      <c r="AG437" s="81"/>
      <c r="AH437" s="81"/>
      <c r="AI437" s="81"/>
      <c r="AJ437" s="81"/>
      <c r="AK437" s="81"/>
      <c r="AL437" s="81"/>
      <c r="AM437" s="81" t="n">
        <f aca="false">O437+Q437+S437+U437+W437+Y437+AA437+AC437+AE437+AG437+AI437+AK437</f>
        <v>0</v>
      </c>
    </row>
    <row collapsed="false" customFormat="false" customHeight="true" hidden="false" ht="16.2" outlineLevel="0" r="438">
      <c r="A438" s="80"/>
      <c r="B438" s="89"/>
      <c r="C438" s="85"/>
      <c r="D438" s="85"/>
      <c r="E438" s="83" t="s">
        <v>1037</v>
      </c>
      <c r="F438" s="84" t="s">
        <v>1036</v>
      </c>
      <c r="G438" s="85"/>
      <c r="H438" s="85"/>
      <c r="I438" s="85"/>
      <c r="J438" s="85"/>
      <c r="K438" s="86"/>
      <c r="L438" s="86"/>
      <c r="M438" s="90" t="n">
        <f aca="false">2187+3244</f>
        <v>5431</v>
      </c>
      <c r="N438" s="91" t="n">
        <f aca="false">2027+3403</f>
        <v>5430</v>
      </c>
      <c r="O438" s="90" t="n">
        <v>750</v>
      </c>
      <c r="P438" s="90" t="s">
        <v>1005</v>
      </c>
      <c r="Q438" s="81" t="n">
        <v>789</v>
      </c>
      <c r="R438" s="90" t="s">
        <v>1005</v>
      </c>
      <c r="S438" s="81" t="n">
        <v>611</v>
      </c>
      <c r="T438" s="81" t="s">
        <v>1061</v>
      </c>
      <c r="U438" s="81" t="n">
        <v>611</v>
      </c>
      <c r="V438" s="81" t="s">
        <v>1061</v>
      </c>
      <c r="W438" s="81" t="n">
        <v>128</v>
      </c>
      <c r="X438" s="81" t="s">
        <v>1005</v>
      </c>
      <c r="Y438" s="81" t="n">
        <v>357</v>
      </c>
      <c r="Z438" s="81" t="s">
        <v>1005</v>
      </c>
      <c r="AA438" s="81" t="n">
        <v>352</v>
      </c>
      <c r="AB438" s="81" t="s">
        <v>1005</v>
      </c>
      <c r="AC438" s="81" t="n">
        <v>437</v>
      </c>
      <c r="AD438" s="81" t="s">
        <v>1005</v>
      </c>
      <c r="AE438" s="90" t="n">
        <f aca="false">583</f>
        <v>583</v>
      </c>
      <c r="AF438" s="81" t="s">
        <v>1005</v>
      </c>
      <c r="AG438" s="81" t="n">
        <f aca="false">746</f>
        <v>746</v>
      </c>
      <c r="AH438" s="81" t="s">
        <v>1005</v>
      </c>
      <c r="AI438" s="81" t="n">
        <f aca="false">983</f>
        <v>983</v>
      </c>
      <c r="AJ438" s="81" t="s">
        <v>1005</v>
      </c>
      <c r="AK438" s="81" t="n">
        <f aca="false">937</f>
        <v>937</v>
      </c>
      <c r="AL438" s="81" t="s">
        <v>1005</v>
      </c>
      <c r="AM438" s="81" t="n">
        <f aca="false">O438+Q438+S438+U438+W438+Y438+AA438+AC438+AE438+AG438+AI438+AK438</f>
        <v>7284</v>
      </c>
    </row>
    <row collapsed="false" customFormat="false" customHeight="true" hidden="false" ht="16.2" outlineLevel="0" r="439">
      <c r="A439" s="80" t="n">
        <v>226</v>
      </c>
      <c r="B439" s="81" t="s">
        <v>359</v>
      </c>
      <c r="C439" s="82" t="s">
        <v>1033</v>
      </c>
      <c r="D439" s="82" t="s">
        <v>1034</v>
      </c>
      <c r="E439" s="83" t="s">
        <v>1035</v>
      </c>
      <c r="F439" s="84" t="s">
        <v>1036</v>
      </c>
      <c r="G439" s="85"/>
      <c r="H439" s="85"/>
      <c r="I439" s="85"/>
      <c r="J439" s="85"/>
      <c r="K439" s="86" t="s">
        <v>53</v>
      </c>
      <c r="L439" s="86" t="s">
        <v>53</v>
      </c>
      <c r="M439" s="90"/>
      <c r="N439" s="90"/>
      <c r="O439" s="90"/>
      <c r="P439" s="90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90"/>
      <c r="AF439" s="81"/>
      <c r="AG439" s="81"/>
      <c r="AH439" s="81"/>
      <c r="AI439" s="81"/>
      <c r="AJ439" s="81"/>
      <c r="AK439" s="81"/>
      <c r="AL439" s="81"/>
      <c r="AM439" s="81" t="n">
        <f aca="false">O439+Q439+S439+U439+W439+Y439+AA439+AC439+AE439+AG439+AI439+AK439</f>
        <v>0</v>
      </c>
    </row>
    <row collapsed="false" customFormat="false" customHeight="true" hidden="false" ht="16.2" outlineLevel="0" r="440">
      <c r="A440" s="80"/>
      <c r="B440" s="89"/>
      <c r="C440" s="85"/>
      <c r="D440" s="85"/>
      <c r="E440" s="83" t="s">
        <v>1037</v>
      </c>
      <c r="F440" s="84" t="s">
        <v>1036</v>
      </c>
      <c r="G440" s="85"/>
      <c r="H440" s="85"/>
      <c r="I440" s="85"/>
      <c r="J440" s="85"/>
      <c r="K440" s="86"/>
      <c r="L440" s="86"/>
      <c r="M440" s="90" t="n">
        <f aca="false">7248+8059</f>
        <v>15307</v>
      </c>
      <c r="N440" s="91" t="n">
        <f aca="false">5989+8639</f>
        <v>14628</v>
      </c>
      <c r="O440" s="90" t="n">
        <v>1797</v>
      </c>
      <c r="P440" s="90" t="s">
        <v>1005</v>
      </c>
      <c r="Q440" s="81" t="n">
        <v>1836</v>
      </c>
      <c r="R440" s="90" t="s">
        <v>1005</v>
      </c>
      <c r="S440" s="81" t="n">
        <v>1382</v>
      </c>
      <c r="T440" s="81" t="s">
        <v>1005</v>
      </c>
      <c r="U440" s="81" t="n">
        <v>1398</v>
      </c>
      <c r="V440" s="81" t="s">
        <v>1005</v>
      </c>
      <c r="W440" s="81" t="n">
        <v>1054</v>
      </c>
      <c r="X440" s="81" t="s">
        <v>1005</v>
      </c>
      <c r="Y440" s="81" t="n">
        <v>318</v>
      </c>
      <c r="Z440" s="81" t="s">
        <v>1005</v>
      </c>
      <c r="AA440" s="81" t="n">
        <v>898</v>
      </c>
      <c r="AB440" s="81" t="s">
        <v>1005</v>
      </c>
      <c r="AC440" s="81" t="n">
        <v>1210</v>
      </c>
      <c r="AD440" s="81" t="s">
        <v>1005</v>
      </c>
      <c r="AE440" s="90" t="n">
        <f aca="false">482+676</f>
        <v>1158</v>
      </c>
      <c r="AF440" s="81" t="s">
        <v>1005</v>
      </c>
      <c r="AG440" s="81" t="n">
        <f aca="false">646+685</f>
        <v>1331</v>
      </c>
      <c r="AH440" s="81" t="s">
        <v>1005</v>
      </c>
      <c r="AI440" s="81" t="n">
        <f aca="false">961+793</f>
        <v>1754</v>
      </c>
      <c r="AJ440" s="81" t="s">
        <v>1005</v>
      </c>
      <c r="AK440" s="81" t="n">
        <f aca="false">246+151</f>
        <v>397</v>
      </c>
      <c r="AL440" s="81" t="s">
        <v>1005</v>
      </c>
      <c r="AM440" s="81" t="n">
        <f aca="false">O440+Q440+S440+U440+W440+Y440+AA440+AC440+AE440+AG440+AI440+AK440</f>
        <v>14533</v>
      </c>
    </row>
    <row collapsed="false" customFormat="false" customHeight="true" hidden="false" ht="16.2" outlineLevel="0" r="441">
      <c r="A441" s="80" t="n">
        <v>227</v>
      </c>
      <c r="B441" s="81" t="s">
        <v>360</v>
      </c>
      <c r="C441" s="82" t="s">
        <v>1033</v>
      </c>
      <c r="D441" s="82" t="s">
        <v>1034</v>
      </c>
      <c r="E441" s="83" t="s">
        <v>1035</v>
      </c>
      <c r="F441" s="84" t="s">
        <v>1036</v>
      </c>
      <c r="G441" s="85"/>
      <c r="H441" s="85"/>
      <c r="I441" s="85"/>
      <c r="J441" s="85"/>
      <c r="K441" s="86" t="s">
        <v>53</v>
      </c>
      <c r="L441" s="86" t="s">
        <v>53</v>
      </c>
      <c r="M441" s="90"/>
      <c r="N441" s="90"/>
      <c r="O441" s="90"/>
      <c r="P441" s="90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90"/>
      <c r="AF441" s="81"/>
      <c r="AG441" s="81"/>
      <c r="AH441" s="81"/>
      <c r="AI441" s="81"/>
      <c r="AJ441" s="81"/>
      <c r="AK441" s="81"/>
      <c r="AL441" s="81"/>
      <c r="AM441" s="81" t="n">
        <f aca="false">O441+Q441+S441+U441+W441+Y441+AA441+AC441+AE441+AG441+AI441+AK441</f>
        <v>0</v>
      </c>
    </row>
    <row collapsed="false" customFormat="false" customHeight="true" hidden="false" ht="16.2" outlineLevel="0" r="442">
      <c r="A442" s="80"/>
      <c r="B442" s="89"/>
      <c r="C442" s="85"/>
      <c r="D442" s="85"/>
      <c r="E442" s="83" t="s">
        <v>1037</v>
      </c>
      <c r="F442" s="84" t="s">
        <v>1036</v>
      </c>
      <c r="G442" s="85"/>
      <c r="H442" s="85"/>
      <c r="I442" s="85"/>
      <c r="J442" s="85"/>
      <c r="K442" s="86"/>
      <c r="L442" s="86"/>
      <c r="M442" s="90" t="n">
        <f aca="false">2303+3400</f>
        <v>5703</v>
      </c>
      <c r="N442" s="91" t="n">
        <f aca="false">7856+3347</f>
        <v>11203</v>
      </c>
      <c r="O442" s="90" t="n">
        <v>998</v>
      </c>
      <c r="P442" s="90" t="s">
        <v>1005</v>
      </c>
      <c r="Q442" s="81" t="n">
        <v>898</v>
      </c>
      <c r="R442" s="90" t="s">
        <v>1005</v>
      </c>
      <c r="S442" s="81" t="n">
        <v>716</v>
      </c>
      <c r="T442" s="81" t="s">
        <v>1061</v>
      </c>
      <c r="U442" s="81" t="n">
        <v>716</v>
      </c>
      <c r="V442" s="81" t="s">
        <v>1061</v>
      </c>
      <c r="W442" s="81" t="n">
        <v>111</v>
      </c>
      <c r="X442" s="81" t="s">
        <v>1005</v>
      </c>
      <c r="Y442" s="81" t="n">
        <v>286</v>
      </c>
      <c r="Z442" s="81" t="s">
        <v>1005</v>
      </c>
      <c r="AA442" s="81" t="n">
        <v>256</v>
      </c>
      <c r="AB442" s="81" t="s">
        <v>1005</v>
      </c>
      <c r="AC442" s="81" t="n">
        <v>309</v>
      </c>
      <c r="AD442" s="81" t="s">
        <v>1005</v>
      </c>
      <c r="AE442" s="90" t="n">
        <f aca="false">530</f>
        <v>530</v>
      </c>
      <c r="AF442" s="81" t="s">
        <v>1005</v>
      </c>
      <c r="AG442" s="81" t="n">
        <f aca="false">604</f>
        <v>604</v>
      </c>
      <c r="AH442" s="81" t="s">
        <v>1005</v>
      </c>
      <c r="AI442" s="81" t="n">
        <f aca="false">1131</f>
        <v>1131</v>
      </c>
      <c r="AJ442" s="81" t="s">
        <v>1005</v>
      </c>
      <c r="AK442" s="81" t="n">
        <f aca="false">1070</f>
        <v>1070</v>
      </c>
      <c r="AL442" s="81" t="s">
        <v>1005</v>
      </c>
      <c r="AM442" s="81" t="n">
        <f aca="false">O442+Q442+S442+U442+W442+Y442+AA442+AC442+AE442+AG442+AI442+AK442</f>
        <v>7625</v>
      </c>
    </row>
    <row collapsed="false" customFormat="false" customHeight="true" hidden="false" ht="16.2" outlineLevel="0" r="443">
      <c r="A443" s="80" t="n">
        <v>228</v>
      </c>
      <c r="B443" s="81" t="s">
        <v>361</v>
      </c>
      <c r="C443" s="82" t="s">
        <v>1033</v>
      </c>
      <c r="D443" s="82" t="s">
        <v>1034</v>
      </c>
      <c r="E443" s="83" t="s">
        <v>1035</v>
      </c>
      <c r="F443" s="84" t="s">
        <v>1036</v>
      </c>
      <c r="G443" s="85"/>
      <c r="H443" s="85"/>
      <c r="I443" s="85"/>
      <c r="J443" s="85"/>
      <c r="K443" s="86" t="s">
        <v>53</v>
      </c>
      <c r="L443" s="86" t="s">
        <v>53</v>
      </c>
      <c r="M443" s="90"/>
      <c r="N443" s="90"/>
      <c r="O443" s="90"/>
      <c r="P443" s="90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90"/>
      <c r="AF443" s="81"/>
      <c r="AG443" s="81"/>
      <c r="AH443" s="81"/>
      <c r="AI443" s="81"/>
      <c r="AJ443" s="81"/>
      <c r="AK443" s="81"/>
      <c r="AL443" s="81"/>
      <c r="AM443" s="81" t="n">
        <f aca="false">O443+Q443+S443+U443+W443+Y443+AA443+AC443+AE443+AG443+AI443+AK443</f>
        <v>0</v>
      </c>
    </row>
    <row collapsed="false" customFormat="false" customHeight="true" hidden="false" ht="16.2" outlineLevel="0" r="444">
      <c r="A444" s="80"/>
      <c r="B444" s="89"/>
      <c r="C444" s="85"/>
      <c r="D444" s="85"/>
      <c r="E444" s="83" t="s">
        <v>1037</v>
      </c>
      <c r="F444" s="84" t="s">
        <v>1036</v>
      </c>
      <c r="G444" s="85"/>
      <c r="H444" s="85"/>
      <c r="I444" s="85"/>
      <c r="J444" s="85"/>
      <c r="K444" s="86"/>
      <c r="L444" s="86"/>
      <c r="M444" s="90" t="n">
        <v>0</v>
      </c>
      <c r="N444" s="91" t="n">
        <f aca="false">41701+72360+33960+24360+50260+86560+56380+15560</f>
        <v>381141</v>
      </c>
      <c r="O444" s="90" t="n">
        <v>37380</v>
      </c>
      <c r="P444" s="90" t="s">
        <v>1005</v>
      </c>
      <c r="Q444" s="81" t="n">
        <v>35900</v>
      </c>
      <c r="R444" s="90" t="s">
        <v>1005</v>
      </c>
      <c r="S444" s="81" t="n">
        <v>28040</v>
      </c>
      <c r="T444" s="81" t="s">
        <v>1005</v>
      </c>
      <c r="U444" s="81" t="n">
        <v>33000</v>
      </c>
      <c r="V444" s="81" t="s">
        <v>1005</v>
      </c>
      <c r="W444" s="81" t="n">
        <v>24820</v>
      </c>
      <c r="X444" s="81" t="s">
        <v>1005</v>
      </c>
      <c r="Y444" s="81" t="n">
        <v>11440</v>
      </c>
      <c r="Z444" s="81" t="s">
        <v>1005</v>
      </c>
      <c r="AA444" s="81" t="n">
        <v>20180</v>
      </c>
      <c r="AB444" s="81" t="s">
        <v>1005</v>
      </c>
      <c r="AC444" s="81" t="n">
        <v>24600</v>
      </c>
      <c r="AD444" s="81" t="s">
        <v>1005</v>
      </c>
      <c r="AE444" s="90" t="n">
        <f aca="false">5600+2440+2020+1280+5440+4800+1380+920</f>
        <v>23880</v>
      </c>
      <c r="AF444" s="81" t="s">
        <v>1005</v>
      </c>
      <c r="AG444" s="81" t="n">
        <f aca="false">6440+2600+2240+1440+6600+5960+1320+860</f>
        <v>27460</v>
      </c>
      <c r="AH444" s="81" t="s">
        <v>1005</v>
      </c>
      <c r="AI444" s="81" t="n">
        <f aca="false">7880+3000+2320+1480+8160+7120+1300+840</f>
        <v>32100</v>
      </c>
      <c r="AJ444" s="81" t="s">
        <v>1005</v>
      </c>
      <c r="AK444" s="81" t="n">
        <f aca="false">8440+3240+2500+1660+9200+8680+1380+860+402</f>
        <v>36362</v>
      </c>
      <c r="AL444" s="81" t="s">
        <v>1005</v>
      </c>
      <c r="AM444" s="81" t="n">
        <f aca="false">O444+Q444+S444+U444+W444+Y444+AA444+AC444+AE444+AG444+AI444+AK444</f>
        <v>335162</v>
      </c>
    </row>
    <row collapsed="false" customFormat="false" customHeight="true" hidden="false" ht="16.2" outlineLevel="0" r="445">
      <c r="A445" s="80" t="n">
        <v>229</v>
      </c>
      <c r="B445" s="81" t="s">
        <v>363</v>
      </c>
      <c r="C445" s="82" t="s">
        <v>1033</v>
      </c>
      <c r="D445" s="82" t="s">
        <v>1034</v>
      </c>
      <c r="E445" s="83" t="s">
        <v>1035</v>
      </c>
      <c r="F445" s="84" t="s">
        <v>1036</v>
      </c>
      <c r="G445" s="85"/>
      <c r="H445" s="85"/>
      <c r="I445" s="85"/>
      <c r="J445" s="85"/>
      <c r="K445" s="86" t="s">
        <v>53</v>
      </c>
      <c r="L445" s="86" t="s">
        <v>53</v>
      </c>
      <c r="M445" s="90"/>
      <c r="N445" s="90"/>
      <c r="O445" s="90"/>
      <c r="P445" s="90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90"/>
      <c r="AF445" s="81"/>
      <c r="AG445" s="81"/>
      <c r="AH445" s="81"/>
      <c r="AI445" s="81"/>
      <c r="AJ445" s="81"/>
      <c r="AK445" s="81"/>
      <c r="AL445" s="81"/>
      <c r="AM445" s="81" t="n">
        <f aca="false">O445+Q445+S445+U445+W445+Y445+AA445+AC445+AE445+AG445+AI445+AK445</f>
        <v>0</v>
      </c>
    </row>
    <row collapsed="false" customFormat="false" customHeight="true" hidden="false" ht="16.2" outlineLevel="0" r="446">
      <c r="A446" s="80"/>
      <c r="B446" s="89"/>
      <c r="C446" s="85"/>
      <c r="D446" s="85"/>
      <c r="E446" s="83" t="s">
        <v>1037</v>
      </c>
      <c r="F446" s="84" t="s">
        <v>1036</v>
      </c>
      <c r="G446" s="85"/>
      <c r="H446" s="85"/>
      <c r="I446" s="85"/>
      <c r="J446" s="85"/>
      <c r="K446" s="86"/>
      <c r="L446" s="86"/>
      <c r="M446" s="90" t="n">
        <f aca="false">2950+2784</f>
        <v>5734</v>
      </c>
      <c r="N446" s="91" t="n">
        <f aca="false">9466+3149</f>
        <v>12615</v>
      </c>
      <c r="O446" s="90" t="n">
        <v>663</v>
      </c>
      <c r="P446" s="90" t="s">
        <v>1005</v>
      </c>
      <c r="Q446" s="81" t="n">
        <v>840</v>
      </c>
      <c r="R446" s="90" t="s">
        <v>1005</v>
      </c>
      <c r="S446" s="81" t="n">
        <v>892</v>
      </c>
      <c r="T446" s="81" t="s">
        <v>1005</v>
      </c>
      <c r="U446" s="81" t="n">
        <v>540</v>
      </c>
      <c r="V446" s="81" t="s">
        <v>1005</v>
      </c>
      <c r="W446" s="81" t="n">
        <v>218</v>
      </c>
      <c r="X446" s="81" t="s">
        <v>1005</v>
      </c>
      <c r="Y446" s="81" t="n">
        <v>338</v>
      </c>
      <c r="Z446" s="81" t="s">
        <v>1005</v>
      </c>
      <c r="AA446" s="81" t="n">
        <v>148</v>
      </c>
      <c r="AB446" s="81" t="s">
        <v>1005</v>
      </c>
      <c r="AC446" s="81" t="n">
        <v>542</v>
      </c>
      <c r="AD446" s="81" t="s">
        <v>1005</v>
      </c>
      <c r="AE446" s="90" t="n">
        <f aca="false">225+287</f>
        <v>512</v>
      </c>
      <c r="AF446" s="81" t="s">
        <v>1005</v>
      </c>
      <c r="AG446" s="81" t="n">
        <f aca="false">278+291</f>
        <v>569</v>
      </c>
      <c r="AH446" s="81" t="s">
        <v>1005</v>
      </c>
      <c r="AI446" s="81" t="n">
        <f aca="false">440+384</f>
        <v>824</v>
      </c>
      <c r="AJ446" s="81" t="s">
        <v>1005</v>
      </c>
      <c r="AK446" s="81" t="n">
        <f aca="false">496+379</f>
        <v>875</v>
      </c>
      <c r="AL446" s="81" t="s">
        <v>1005</v>
      </c>
      <c r="AM446" s="81" t="n">
        <f aca="false">O446+Q446+S446+U446+W446+Y446+AA446+AC446+AE446+AG446+AI446+AK446</f>
        <v>6961</v>
      </c>
    </row>
    <row collapsed="false" customFormat="false" customHeight="true" hidden="false" ht="16.2" outlineLevel="0" r="447">
      <c r="A447" s="80" t="n">
        <v>230</v>
      </c>
      <c r="B447" s="81" t="s">
        <v>364</v>
      </c>
      <c r="C447" s="82" t="s">
        <v>1033</v>
      </c>
      <c r="D447" s="82" t="s">
        <v>1034</v>
      </c>
      <c r="E447" s="83" t="s">
        <v>1035</v>
      </c>
      <c r="F447" s="84" t="s">
        <v>1036</v>
      </c>
      <c r="G447" s="85"/>
      <c r="H447" s="85"/>
      <c r="I447" s="85"/>
      <c r="J447" s="85"/>
      <c r="K447" s="86" t="s">
        <v>53</v>
      </c>
      <c r="L447" s="86" t="s">
        <v>53</v>
      </c>
      <c r="M447" s="90"/>
      <c r="N447" s="90"/>
      <c r="O447" s="90"/>
      <c r="P447" s="90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90"/>
      <c r="AF447" s="81"/>
      <c r="AG447" s="81"/>
      <c r="AH447" s="81"/>
      <c r="AI447" s="81"/>
      <c r="AJ447" s="81"/>
      <c r="AK447" s="81"/>
      <c r="AL447" s="81"/>
      <c r="AM447" s="81" t="n">
        <f aca="false">O447+Q447+S447+U447+W447+Y447+AA447+AC447+AE447+AG447+AI447+AK447</f>
        <v>0</v>
      </c>
    </row>
    <row collapsed="false" customFormat="false" customHeight="true" hidden="false" ht="16.2" outlineLevel="0" r="448">
      <c r="A448" s="80"/>
      <c r="B448" s="89"/>
      <c r="C448" s="85"/>
      <c r="D448" s="85"/>
      <c r="E448" s="83" t="s">
        <v>1037</v>
      </c>
      <c r="F448" s="84" t="s">
        <v>1036</v>
      </c>
      <c r="G448" s="85"/>
      <c r="H448" s="85"/>
      <c r="I448" s="85"/>
      <c r="J448" s="85"/>
      <c r="K448" s="86"/>
      <c r="L448" s="86"/>
      <c r="M448" s="90" t="n">
        <f aca="false">1804+2254</f>
        <v>4058</v>
      </c>
      <c r="N448" s="91" t="n">
        <f aca="false">3416+2394</f>
        <v>5810</v>
      </c>
      <c r="O448" s="90" t="n">
        <v>722</v>
      </c>
      <c r="P448" s="90" t="s">
        <v>1005</v>
      </c>
      <c r="Q448" s="81" t="n">
        <v>681</v>
      </c>
      <c r="R448" s="90" t="s">
        <v>1005</v>
      </c>
      <c r="S448" s="81" t="n">
        <v>633</v>
      </c>
      <c r="T448" s="81" t="s">
        <v>1005</v>
      </c>
      <c r="U448" s="81" t="n">
        <v>539</v>
      </c>
      <c r="V448" s="81" t="s">
        <v>1005</v>
      </c>
      <c r="W448" s="81" t="n">
        <v>408</v>
      </c>
      <c r="X448" s="81" t="s">
        <v>1005</v>
      </c>
      <c r="Y448" s="81" t="n">
        <v>144</v>
      </c>
      <c r="Z448" s="81" t="s">
        <v>1005</v>
      </c>
      <c r="AA448" s="81" t="n">
        <v>183</v>
      </c>
      <c r="AB448" s="81" t="s">
        <v>1005</v>
      </c>
      <c r="AC448" s="81" t="n">
        <v>449</v>
      </c>
      <c r="AD448" s="81" t="s">
        <v>1005</v>
      </c>
      <c r="AE448" s="90" t="n">
        <f aca="false">165+284</f>
        <v>449</v>
      </c>
      <c r="AF448" s="81" t="s">
        <v>1005</v>
      </c>
      <c r="AG448" s="81" t="n">
        <f aca="false">156+266</f>
        <v>422</v>
      </c>
      <c r="AH448" s="81" t="s">
        <v>1005</v>
      </c>
      <c r="AI448" s="81" t="n">
        <f aca="false">394+334</f>
        <v>728</v>
      </c>
      <c r="AJ448" s="81" t="s">
        <v>1005</v>
      </c>
      <c r="AK448" s="81" t="n">
        <f aca="false">380+284</f>
        <v>664</v>
      </c>
      <c r="AL448" s="81" t="s">
        <v>1005</v>
      </c>
      <c r="AM448" s="81" t="n">
        <f aca="false">O448+Q448+S448+U448+W448+Y448+AA448+AC448+AE448+AG448+AI448+AK448</f>
        <v>6022</v>
      </c>
    </row>
    <row collapsed="false" customFormat="false" customHeight="true" hidden="false" ht="16.2" outlineLevel="0" r="449">
      <c r="A449" s="80" t="n">
        <v>231</v>
      </c>
      <c r="B449" s="81" t="s">
        <v>366</v>
      </c>
      <c r="C449" s="82" t="s">
        <v>1033</v>
      </c>
      <c r="D449" s="82" t="s">
        <v>1034</v>
      </c>
      <c r="E449" s="83" t="s">
        <v>1035</v>
      </c>
      <c r="F449" s="84" t="s">
        <v>1036</v>
      </c>
      <c r="G449" s="85"/>
      <c r="H449" s="85"/>
      <c r="I449" s="85"/>
      <c r="J449" s="85"/>
      <c r="K449" s="86" t="s">
        <v>53</v>
      </c>
      <c r="L449" s="86" t="s">
        <v>53</v>
      </c>
      <c r="M449" s="90"/>
      <c r="N449" s="90"/>
      <c r="O449" s="90"/>
      <c r="P449" s="90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90"/>
      <c r="AF449" s="81"/>
      <c r="AG449" s="81"/>
      <c r="AH449" s="81"/>
      <c r="AI449" s="81"/>
      <c r="AJ449" s="81"/>
      <c r="AK449" s="81"/>
      <c r="AL449" s="81"/>
      <c r="AM449" s="81" t="n">
        <f aca="false">O449+Q449+S449+U449+W449+Y449+AA449+AC449+AE449+AG449+AI449+AK449</f>
        <v>0</v>
      </c>
    </row>
    <row collapsed="false" customFormat="false" customHeight="true" hidden="false" ht="16.2" outlineLevel="0" r="450">
      <c r="A450" s="80"/>
      <c r="B450" s="89"/>
      <c r="C450" s="85"/>
      <c r="D450" s="85"/>
      <c r="E450" s="83" t="s">
        <v>1037</v>
      </c>
      <c r="F450" s="84" t="s">
        <v>1036</v>
      </c>
      <c r="G450" s="85"/>
      <c r="H450" s="85"/>
      <c r="I450" s="85"/>
      <c r="J450" s="85"/>
      <c r="K450" s="86"/>
      <c r="L450" s="86"/>
      <c r="M450" s="90" t="n">
        <f aca="false">3277+4235</f>
        <v>7512</v>
      </c>
      <c r="N450" s="91" t="n">
        <f aca="false">3731+3348</f>
        <v>7079</v>
      </c>
      <c r="O450" s="90" t="n">
        <v>758</v>
      </c>
      <c r="P450" s="90" t="s">
        <v>1005</v>
      </c>
      <c r="Q450" s="81" t="n">
        <v>870</v>
      </c>
      <c r="R450" s="90" t="s">
        <v>1005</v>
      </c>
      <c r="S450" s="81" t="n">
        <v>438</v>
      </c>
      <c r="T450" s="81" t="s">
        <v>1005</v>
      </c>
      <c r="U450" s="81" t="n">
        <v>438</v>
      </c>
      <c r="V450" s="81" t="s">
        <v>1005</v>
      </c>
      <c r="W450" s="81" t="n">
        <v>76</v>
      </c>
      <c r="X450" s="81" t="s">
        <v>1005</v>
      </c>
      <c r="Y450" s="81" t="n">
        <v>260</v>
      </c>
      <c r="Z450" s="81" t="s">
        <v>1005</v>
      </c>
      <c r="AA450" s="81" t="n">
        <v>357</v>
      </c>
      <c r="AB450" s="81" t="s">
        <v>1005</v>
      </c>
      <c r="AC450" s="81" t="n">
        <v>474</v>
      </c>
      <c r="AD450" s="81" t="s">
        <v>1005</v>
      </c>
      <c r="AE450" s="90" t="n">
        <f aca="false">172+302</f>
        <v>474</v>
      </c>
      <c r="AF450" s="81" t="s">
        <v>1005</v>
      </c>
      <c r="AG450" s="81" t="n">
        <f aca="false">235+285</f>
        <v>520</v>
      </c>
      <c r="AH450" s="81" t="s">
        <v>1005</v>
      </c>
      <c r="AI450" s="81" t="n">
        <f aca="false">393+354</f>
        <v>747</v>
      </c>
      <c r="AJ450" s="81" t="s">
        <v>1005</v>
      </c>
      <c r="AK450" s="81" t="n">
        <f aca="false">477+389</f>
        <v>866</v>
      </c>
      <c r="AL450" s="81" t="s">
        <v>1005</v>
      </c>
      <c r="AM450" s="81" t="n">
        <f aca="false">O450+Q450+S450+U450+W450+Y450+AA450+AC450+AE450+AG450+AI450+AK450</f>
        <v>6278</v>
      </c>
    </row>
    <row collapsed="false" customFormat="false" customHeight="true" hidden="false" ht="16.2" outlineLevel="0" r="451">
      <c r="A451" s="80" t="n">
        <v>232</v>
      </c>
      <c r="B451" s="81" t="s">
        <v>368</v>
      </c>
      <c r="C451" s="82" t="s">
        <v>1033</v>
      </c>
      <c r="D451" s="82" t="s">
        <v>1034</v>
      </c>
      <c r="E451" s="83" t="s">
        <v>1035</v>
      </c>
      <c r="F451" s="84" t="s">
        <v>1036</v>
      </c>
      <c r="G451" s="85"/>
      <c r="H451" s="85"/>
      <c r="I451" s="85"/>
      <c r="J451" s="85"/>
      <c r="K451" s="86" t="s">
        <v>53</v>
      </c>
      <c r="L451" s="86" t="s">
        <v>53</v>
      </c>
      <c r="M451" s="90"/>
      <c r="N451" s="90"/>
      <c r="O451" s="90"/>
      <c r="P451" s="90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90"/>
      <c r="AF451" s="81"/>
      <c r="AG451" s="81"/>
      <c r="AH451" s="81"/>
      <c r="AI451" s="81"/>
      <c r="AJ451" s="81"/>
      <c r="AK451" s="81"/>
      <c r="AL451" s="81"/>
      <c r="AM451" s="81" t="n">
        <f aca="false">O451+Q451+S451+U451+W451+Y451+AA451+AC451+AE451+AG451+AI451+AK451</f>
        <v>0</v>
      </c>
    </row>
    <row collapsed="false" customFormat="false" customHeight="true" hidden="false" ht="16.2" outlineLevel="0" r="452">
      <c r="A452" s="80"/>
      <c r="B452" s="89"/>
      <c r="C452" s="85"/>
      <c r="D452" s="85"/>
      <c r="E452" s="83" t="s">
        <v>1037</v>
      </c>
      <c r="F452" s="84" t="s">
        <v>1036</v>
      </c>
      <c r="G452" s="85"/>
      <c r="H452" s="85"/>
      <c r="I452" s="85"/>
      <c r="J452" s="85"/>
      <c r="K452" s="86"/>
      <c r="L452" s="86"/>
      <c r="M452" s="90" t="n">
        <f aca="false">1026+1187</f>
        <v>2213</v>
      </c>
      <c r="N452" s="91" t="n">
        <f aca="false">3123+1517</f>
        <v>4640</v>
      </c>
      <c r="O452" s="90" t="n">
        <v>564</v>
      </c>
      <c r="P452" s="90" t="s">
        <v>1005</v>
      </c>
      <c r="Q452" s="81" t="n">
        <v>552</v>
      </c>
      <c r="R452" s="90" t="s">
        <v>1005</v>
      </c>
      <c r="S452" s="81" t="n">
        <v>433</v>
      </c>
      <c r="T452" s="81" t="s">
        <v>1005</v>
      </c>
      <c r="U452" s="81" t="n">
        <v>478</v>
      </c>
      <c r="V452" s="81" t="s">
        <v>1005</v>
      </c>
      <c r="W452" s="81" t="n">
        <v>263</v>
      </c>
      <c r="X452" s="81" t="s">
        <v>1005</v>
      </c>
      <c r="Y452" s="81" t="n">
        <v>50</v>
      </c>
      <c r="Z452" s="81" t="s">
        <v>1005</v>
      </c>
      <c r="AA452" s="81" t="n">
        <v>178</v>
      </c>
      <c r="AB452" s="81" t="s">
        <v>1005</v>
      </c>
      <c r="AC452" s="81" t="n">
        <v>329</v>
      </c>
      <c r="AD452" s="81" t="s">
        <v>1005</v>
      </c>
      <c r="AE452" s="90" t="n">
        <f aca="false">154+175</f>
        <v>329</v>
      </c>
      <c r="AF452" s="81" t="s">
        <v>1005</v>
      </c>
      <c r="AG452" s="81" t="n">
        <f aca="false">198+165</f>
        <v>363</v>
      </c>
      <c r="AH452" s="81" t="s">
        <v>1005</v>
      </c>
      <c r="AI452" s="81" t="n">
        <f aca="false">381+290</f>
        <v>671</v>
      </c>
      <c r="AJ452" s="81" t="s">
        <v>1005</v>
      </c>
      <c r="AK452" s="81" t="n">
        <f aca="false">402+269</f>
        <v>671</v>
      </c>
      <c r="AL452" s="81" t="s">
        <v>1005</v>
      </c>
      <c r="AM452" s="81" t="n">
        <f aca="false">O452+Q452+S452+U452+W452+Y452+AA452+AC452+AE452+AG452+AI452+AK452</f>
        <v>4881</v>
      </c>
    </row>
    <row collapsed="false" customFormat="false" customHeight="true" hidden="false" ht="16.2" outlineLevel="0" r="453">
      <c r="A453" s="80" t="n">
        <v>233</v>
      </c>
      <c r="B453" s="81" t="s">
        <v>369</v>
      </c>
      <c r="C453" s="82" t="s">
        <v>1033</v>
      </c>
      <c r="D453" s="82" t="s">
        <v>1034</v>
      </c>
      <c r="E453" s="83" t="s">
        <v>1035</v>
      </c>
      <c r="F453" s="84" t="s">
        <v>1036</v>
      </c>
      <c r="G453" s="85"/>
      <c r="H453" s="85"/>
      <c r="I453" s="85"/>
      <c r="J453" s="85"/>
      <c r="K453" s="86" t="s">
        <v>53</v>
      </c>
      <c r="L453" s="86" t="s">
        <v>53</v>
      </c>
      <c r="M453" s="90"/>
      <c r="N453" s="90"/>
      <c r="O453" s="90"/>
      <c r="P453" s="90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90"/>
      <c r="AF453" s="81"/>
      <c r="AG453" s="81"/>
      <c r="AH453" s="81"/>
      <c r="AI453" s="81"/>
      <c r="AJ453" s="81"/>
      <c r="AK453" s="81"/>
      <c r="AL453" s="81"/>
      <c r="AM453" s="81" t="n">
        <f aca="false">O453+Q453+S453+U453+W453+Y453+AA453+AC453+AE453+AG453+AI453+AK453</f>
        <v>0</v>
      </c>
    </row>
    <row collapsed="false" customFormat="false" customHeight="true" hidden="false" ht="16.2" outlineLevel="0" r="454">
      <c r="A454" s="80"/>
      <c r="B454" s="89"/>
      <c r="C454" s="85"/>
      <c r="D454" s="85"/>
      <c r="E454" s="83" t="s">
        <v>1037</v>
      </c>
      <c r="F454" s="84" t="s">
        <v>1036</v>
      </c>
      <c r="G454" s="85"/>
      <c r="H454" s="85"/>
      <c r="I454" s="85"/>
      <c r="J454" s="85"/>
      <c r="K454" s="86"/>
      <c r="L454" s="86"/>
      <c r="M454" s="90" t="n">
        <f aca="false">1620+1217</f>
        <v>2837</v>
      </c>
      <c r="N454" s="91" t="n">
        <f aca="false">1989+2747</f>
        <v>4736</v>
      </c>
      <c r="O454" s="90" t="n">
        <v>713</v>
      </c>
      <c r="P454" s="90" t="s">
        <v>1005</v>
      </c>
      <c r="Q454" s="81" t="n">
        <v>652</v>
      </c>
      <c r="R454" s="90" t="s">
        <v>1005</v>
      </c>
      <c r="S454" s="81" t="n">
        <v>490</v>
      </c>
      <c r="T454" s="81" t="s">
        <v>1005</v>
      </c>
      <c r="U454" s="81" t="n">
        <v>366</v>
      </c>
      <c r="V454" s="81" t="s">
        <v>1005</v>
      </c>
      <c r="W454" s="81" t="n">
        <v>200</v>
      </c>
      <c r="X454" s="81" t="s">
        <v>1005</v>
      </c>
      <c r="Y454" s="81" t="n">
        <v>123</v>
      </c>
      <c r="Z454" s="81" t="s">
        <v>1005</v>
      </c>
      <c r="AA454" s="81" t="n">
        <v>73</v>
      </c>
      <c r="AB454" s="81" t="s">
        <v>1005</v>
      </c>
      <c r="AC454" s="81" t="n">
        <v>260</v>
      </c>
      <c r="AD454" s="81" t="s">
        <v>1005</v>
      </c>
      <c r="AE454" s="90" t="n">
        <f aca="false">61+199</f>
        <v>260</v>
      </c>
      <c r="AF454" s="81" t="s">
        <v>1005</v>
      </c>
      <c r="AG454" s="81" t="n">
        <f aca="false">154+250</f>
        <v>404</v>
      </c>
      <c r="AH454" s="81" t="s">
        <v>1005</v>
      </c>
      <c r="AI454" s="81" t="n">
        <f aca="false">322+338</f>
        <v>660</v>
      </c>
      <c r="AJ454" s="81" t="s">
        <v>1005</v>
      </c>
      <c r="AK454" s="81" t="n">
        <f aca="false">455+365</f>
        <v>820</v>
      </c>
      <c r="AL454" s="81" t="s">
        <v>1005</v>
      </c>
      <c r="AM454" s="81" t="n">
        <f aca="false">O454+Q454+S454+U454+W454+Y454+AA454+AC454+AE454+AG454+AI454+AK454</f>
        <v>5021</v>
      </c>
    </row>
    <row collapsed="false" customFormat="false" customHeight="true" hidden="false" ht="16.2" outlineLevel="0" r="455">
      <c r="A455" s="80" t="n">
        <v>234</v>
      </c>
      <c r="B455" s="81" t="s">
        <v>370</v>
      </c>
      <c r="C455" s="82" t="s">
        <v>1033</v>
      </c>
      <c r="D455" s="82" t="s">
        <v>1034</v>
      </c>
      <c r="E455" s="83" t="s">
        <v>1035</v>
      </c>
      <c r="F455" s="84" t="s">
        <v>1036</v>
      </c>
      <c r="G455" s="85"/>
      <c r="H455" s="85"/>
      <c r="I455" s="85"/>
      <c r="J455" s="85"/>
      <c r="K455" s="86" t="s">
        <v>53</v>
      </c>
      <c r="L455" s="86" t="s">
        <v>53</v>
      </c>
      <c r="M455" s="90"/>
      <c r="N455" s="90"/>
      <c r="O455" s="90"/>
      <c r="P455" s="90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90"/>
      <c r="AF455" s="81"/>
      <c r="AG455" s="81"/>
      <c r="AH455" s="81"/>
      <c r="AI455" s="81"/>
      <c r="AJ455" s="81"/>
      <c r="AK455" s="81"/>
      <c r="AL455" s="81"/>
      <c r="AM455" s="81" t="n">
        <f aca="false">O455+Q455+S455+U455+W455+Y455+AA455+AC455+AE455+AG455+AI455+AK455</f>
        <v>0</v>
      </c>
    </row>
    <row collapsed="false" customFormat="false" customHeight="true" hidden="false" ht="16.2" outlineLevel="0" r="456">
      <c r="A456" s="80"/>
      <c r="B456" s="89"/>
      <c r="C456" s="85"/>
      <c r="D456" s="85"/>
      <c r="E456" s="83" t="s">
        <v>1037</v>
      </c>
      <c r="F456" s="84" t="s">
        <v>1036</v>
      </c>
      <c r="G456" s="85"/>
      <c r="H456" s="85"/>
      <c r="I456" s="85"/>
      <c r="J456" s="85"/>
      <c r="K456" s="86"/>
      <c r="L456" s="86"/>
      <c r="M456" s="90" t="n">
        <f aca="false">680+558</f>
        <v>1238</v>
      </c>
      <c r="N456" s="91" t="n">
        <f aca="false">3023+2618</f>
        <v>5641</v>
      </c>
      <c r="O456" s="90" t="n">
        <v>580</v>
      </c>
      <c r="P456" s="90" t="s">
        <v>1005</v>
      </c>
      <c r="Q456" s="81" t="n">
        <v>498</v>
      </c>
      <c r="R456" s="90" t="s">
        <v>1005</v>
      </c>
      <c r="S456" s="81" t="n">
        <v>451</v>
      </c>
      <c r="T456" s="81" t="s">
        <v>1005</v>
      </c>
      <c r="U456" s="81" t="n">
        <v>475</v>
      </c>
      <c r="V456" s="81" t="s">
        <v>1005</v>
      </c>
      <c r="W456" s="81" t="n">
        <v>334</v>
      </c>
      <c r="X456" s="81" t="s">
        <v>1005</v>
      </c>
      <c r="Y456" s="81" t="n">
        <v>689</v>
      </c>
      <c r="Z456" s="81" t="s">
        <v>1005</v>
      </c>
      <c r="AA456" s="81" t="n">
        <v>534</v>
      </c>
      <c r="AB456" s="81" t="s">
        <v>1005</v>
      </c>
      <c r="AC456" s="81" t="n">
        <v>395</v>
      </c>
      <c r="AD456" s="81" t="s">
        <v>1005</v>
      </c>
      <c r="AE456" s="90" t="n">
        <v>395</v>
      </c>
      <c r="AF456" s="81" t="s">
        <v>1005</v>
      </c>
      <c r="AG456" s="81" t="n">
        <f aca="false">329+274</f>
        <v>603</v>
      </c>
      <c r="AH456" s="81" t="s">
        <v>1005</v>
      </c>
      <c r="AI456" s="81" t="n">
        <f aca="false">417+301</f>
        <v>718</v>
      </c>
      <c r="AJ456" s="81" t="s">
        <v>1005</v>
      </c>
      <c r="AK456" s="81" t="n">
        <f aca="false">436+275</f>
        <v>711</v>
      </c>
      <c r="AL456" s="81" t="s">
        <v>1005</v>
      </c>
      <c r="AM456" s="81" t="n">
        <f aca="false">O456+Q456+S456+U456+W456+Y456+AA456+AC456+AE456+AG456+AI456+AK456</f>
        <v>6383</v>
      </c>
    </row>
    <row collapsed="false" customFormat="false" customHeight="true" hidden="false" ht="16.2" outlineLevel="0" r="457">
      <c r="A457" s="80" t="n">
        <v>235</v>
      </c>
      <c r="B457" s="81"/>
      <c r="C457" s="82" t="s">
        <v>1033</v>
      </c>
      <c r="D457" s="85"/>
      <c r="E457" s="83" t="s">
        <v>1035</v>
      </c>
      <c r="F457" s="49" t="s">
        <v>1036</v>
      </c>
      <c r="G457" s="85"/>
      <c r="H457" s="85"/>
      <c r="I457" s="85"/>
      <c r="J457" s="85"/>
      <c r="K457" s="85"/>
      <c r="L457" s="85"/>
      <c r="M457" s="81"/>
      <c r="N457" s="81"/>
      <c r="O457" s="96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  <c r="AJ457" s="81"/>
      <c r="AK457" s="81"/>
      <c r="AL457" s="81"/>
      <c r="AM457" s="81"/>
    </row>
    <row collapsed="false" customFormat="false" customHeight="true" hidden="false" ht="16.2" outlineLevel="0" r="458">
      <c r="A458" s="80"/>
      <c r="B458" s="81" t="s">
        <v>372</v>
      </c>
      <c r="C458" s="85"/>
      <c r="D458" s="85" t="s">
        <v>1054</v>
      </c>
      <c r="E458" s="83" t="s">
        <v>1037</v>
      </c>
      <c r="F458" s="49" t="s">
        <v>1036</v>
      </c>
      <c r="G458" s="85" t="s">
        <v>1042</v>
      </c>
      <c r="H458" s="85" t="n">
        <v>6</v>
      </c>
      <c r="I458" s="85" t="s">
        <v>1046</v>
      </c>
      <c r="J458" s="85" t="n">
        <v>1</v>
      </c>
      <c r="K458" s="85" t="s">
        <v>1041</v>
      </c>
      <c r="L458" s="85" t="s">
        <v>1041</v>
      </c>
      <c r="M458" s="81" t="n">
        <v>1752</v>
      </c>
      <c r="N458" s="81"/>
      <c r="O458" s="96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  <c r="AL458" s="81"/>
      <c r="AM458" s="81"/>
    </row>
    <row collapsed="false" customFormat="false" customHeight="true" hidden="false" ht="16.2" outlineLevel="0" r="459">
      <c r="A459" s="80" t="n">
        <v>236</v>
      </c>
      <c r="B459" s="81"/>
      <c r="C459" s="82" t="s">
        <v>1033</v>
      </c>
      <c r="D459" s="85"/>
      <c r="E459" s="83" t="s">
        <v>1035</v>
      </c>
      <c r="F459" s="49" t="s">
        <v>1036</v>
      </c>
      <c r="G459" s="85"/>
      <c r="H459" s="85"/>
      <c r="I459" s="85"/>
      <c r="J459" s="85"/>
      <c r="K459" s="85"/>
      <c r="L459" s="85"/>
      <c r="M459" s="81"/>
      <c r="N459" s="81"/>
      <c r="O459" s="96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  <c r="AJ459" s="81"/>
      <c r="AK459" s="81"/>
      <c r="AL459" s="81"/>
      <c r="AM459" s="81"/>
    </row>
    <row collapsed="false" customFormat="false" customHeight="true" hidden="false" ht="16.2" outlineLevel="0" r="460">
      <c r="A460" s="80"/>
      <c r="B460" s="81" t="s">
        <v>373</v>
      </c>
      <c r="C460" s="85"/>
      <c r="D460" s="85" t="s">
        <v>1054</v>
      </c>
      <c r="E460" s="83" t="s">
        <v>1037</v>
      </c>
      <c r="F460" s="49" t="s">
        <v>1036</v>
      </c>
      <c r="G460" s="85" t="s">
        <v>1042</v>
      </c>
      <c r="H460" s="85" t="n">
        <v>6</v>
      </c>
      <c r="I460" s="85" t="s">
        <v>1046</v>
      </c>
      <c r="J460" s="85" t="n">
        <v>1</v>
      </c>
      <c r="K460" s="85" t="s">
        <v>1041</v>
      </c>
      <c r="L460" s="85" t="s">
        <v>1041</v>
      </c>
      <c r="M460" s="81" t="n">
        <v>1908</v>
      </c>
      <c r="N460" s="81"/>
      <c r="O460" s="96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  <c r="AK460" s="81"/>
      <c r="AL460" s="81"/>
      <c r="AM460" s="81"/>
    </row>
    <row collapsed="false" customFormat="false" customHeight="true" hidden="false" ht="16.2" outlineLevel="0" r="461">
      <c r="A461" s="80" t="n">
        <v>237</v>
      </c>
      <c r="B461" s="81"/>
      <c r="C461" s="82" t="s">
        <v>1033</v>
      </c>
      <c r="D461" s="85"/>
      <c r="E461" s="83" t="s">
        <v>1035</v>
      </c>
      <c r="F461" s="49" t="s">
        <v>1036</v>
      </c>
      <c r="G461" s="85"/>
      <c r="H461" s="85"/>
      <c r="I461" s="85"/>
      <c r="J461" s="85"/>
      <c r="K461" s="85"/>
      <c r="L461" s="85"/>
      <c r="M461" s="81"/>
      <c r="N461" s="81"/>
      <c r="O461" s="96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  <c r="AK461" s="81"/>
      <c r="AL461" s="81"/>
      <c r="AM461" s="81"/>
    </row>
    <row collapsed="false" customFormat="false" customHeight="true" hidden="false" ht="16.2" outlineLevel="0" r="462">
      <c r="A462" s="80"/>
      <c r="B462" s="81" t="s">
        <v>374</v>
      </c>
      <c r="C462" s="85"/>
      <c r="D462" s="85" t="s">
        <v>1054</v>
      </c>
      <c r="E462" s="83" t="s">
        <v>1037</v>
      </c>
      <c r="F462" s="49" t="s">
        <v>1036</v>
      </c>
      <c r="G462" s="85" t="s">
        <v>1042</v>
      </c>
      <c r="H462" s="85" t="n">
        <v>6</v>
      </c>
      <c r="I462" s="85" t="s">
        <v>1046</v>
      </c>
      <c r="J462" s="85" t="n">
        <v>1</v>
      </c>
      <c r="K462" s="85" t="s">
        <v>1041</v>
      </c>
      <c r="L462" s="85" t="s">
        <v>1041</v>
      </c>
      <c r="M462" s="81" t="n">
        <v>4464</v>
      </c>
      <c r="N462" s="81"/>
      <c r="O462" s="96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</row>
    <row collapsed="false" customFormat="false" customHeight="true" hidden="false" ht="16.2" outlineLevel="0" r="463">
      <c r="A463" s="80" t="n">
        <v>238</v>
      </c>
      <c r="B463" s="81"/>
      <c r="C463" s="82" t="s">
        <v>1033</v>
      </c>
      <c r="D463" s="85"/>
      <c r="E463" s="83" t="s">
        <v>1035</v>
      </c>
      <c r="F463" s="49" t="s">
        <v>1036</v>
      </c>
      <c r="G463" s="85"/>
      <c r="H463" s="85"/>
      <c r="I463" s="85"/>
      <c r="J463" s="85"/>
      <c r="K463" s="85"/>
      <c r="L463" s="85"/>
      <c r="M463" s="81"/>
      <c r="N463" s="81"/>
      <c r="O463" s="96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81"/>
    </row>
    <row collapsed="false" customFormat="false" customHeight="true" hidden="false" ht="16.2" outlineLevel="0" r="464">
      <c r="A464" s="80"/>
      <c r="B464" s="81" t="s">
        <v>375</v>
      </c>
      <c r="C464" s="85"/>
      <c r="D464" s="85" t="s">
        <v>1054</v>
      </c>
      <c r="E464" s="83" t="s">
        <v>1037</v>
      </c>
      <c r="F464" s="49" t="s">
        <v>1036</v>
      </c>
      <c r="G464" s="85" t="s">
        <v>1042</v>
      </c>
      <c r="H464" s="85" t="n">
        <v>6</v>
      </c>
      <c r="I464" s="85" t="s">
        <v>1046</v>
      </c>
      <c r="J464" s="85" t="n">
        <v>2</v>
      </c>
      <c r="K464" s="85" t="s">
        <v>1041</v>
      </c>
      <c r="L464" s="85" t="s">
        <v>1041</v>
      </c>
      <c r="M464" s="81" t="n">
        <v>738</v>
      </c>
      <c r="N464" s="81"/>
      <c r="O464" s="96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</row>
    <row collapsed="false" customFormat="false" customHeight="true" hidden="false" ht="16.2" outlineLevel="0" r="465">
      <c r="A465" s="80" t="n">
        <v>240</v>
      </c>
      <c r="B465" s="81" t="s">
        <v>378</v>
      </c>
      <c r="C465" s="82" t="s">
        <v>1033</v>
      </c>
      <c r="D465" s="82" t="s">
        <v>1034</v>
      </c>
      <c r="E465" s="83" t="s">
        <v>1035</v>
      </c>
      <c r="F465" s="84" t="s">
        <v>1036</v>
      </c>
      <c r="G465" s="85"/>
      <c r="H465" s="85"/>
      <c r="I465" s="85"/>
      <c r="J465" s="85"/>
      <c r="K465" s="86" t="s">
        <v>53</v>
      </c>
      <c r="L465" s="86" t="s">
        <v>53</v>
      </c>
      <c r="M465" s="90"/>
      <c r="N465" s="90"/>
      <c r="O465" s="90"/>
      <c r="P465" s="90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90"/>
      <c r="AF465" s="81"/>
      <c r="AG465" s="81"/>
      <c r="AH465" s="81"/>
      <c r="AI465" s="81"/>
      <c r="AJ465" s="81"/>
      <c r="AK465" s="81"/>
      <c r="AL465" s="81"/>
      <c r="AM465" s="81" t="n">
        <f aca="false">O465+Q465+S465+U465+W465+Y465+AA465+AC465+AE465+AG465+AI465+AK465</f>
        <v>0</v>
      </c>
    </row>
    <row collapsed="false" customFormat="false" customHeight="true" hidden="false" ht="16.2" outlineLevel="0" r="466">
      <c r="A466" s="80"/>
      <c r="B466" s="89"/>
      <c r="C466" s="85"/>
      <c r="D466" s="85"/>
      <c r="E466" s="83" t="s">
        <v>1037</v>
      </c>
      <c r="F466" s="84" t="s">
        <v>1036</v>
      </c>
      <c r="G466" s="85"/>
      <c r="H466" s="85"/>
      <c r="I466" s="85"/>
      <c r="J466" s="85"/>
      <c r="K466" s="86"/>
      <c r="L466" s="86"/>
      <c r="M466" s="90" t="n">
        <v>6723</v>
      </c>
      <c r="N466" s="90" t="n">
        <f aca="false">2124</f>
        <v>2124</v>
      </c>
      <c r="O466" s="90" t="n">
        <v>421</v>
      </c>
      <c r="P466" s="90" t="s">
        <v>1005</v>
      </c>
      <c r="Q466" s="81" t="n">
        <v>393</v>
      </c>
      <c r="R466" s="90" t="s">
        <v>1005</v>
      </c>
      <c r="S466" s="81" t="n">
        <v>319</v>
      </c>
      <c r="T466" s="81" t="s">
        <v>1005</v>
      </c>
      <c r="U466" s="81" t="n">
        <v>286</v>
      </c>
      <c r="V466" s="81" t="s">
        <v>1005</v>
      </c>
      <c r="W466" s="81" t="n">
        <v>266</v>
      </c>
      <c r="X466" s="81" t="s">
        <v>1005</v>
      </c>
      <c r="Y466" s="81" t="n">
        <v>212</v>
      </c>
      <c r="Z466" s="81" t="s">
        <v>1005</v>
      </c>
      <c r="AA466" s="81" t="n">
        <v>178</v>
      </c>
      <c r="AB466" s="81" t="s">
        <v>1005</v>
      </c>
      <c r="AC466" s="81" t="n">
        <v>279</v>
      </c>
      <c r="AD466" s="81" t="s">
        <v>1005</v>
      </c>
      <c r="AE466" s="90" t="n">
        <v>279</v>
      </c>
      <c r="AF466" s="81" t="s">
        <v>1005</v>
      </c>
      <c r="AG466" s="81" t="n">
        <f aca="false">166+151</f>
        <v>317</v>
      </c>
      <c r="AH466" s="81" t="s">
        <v>1005</v>
      </c>
      <c r="AI466" s="81" t="n">
        <f aca="false">247+182</f>
        <v>429</v>
      </c>
      <c r="AJ466" s="81" t="s">
        <v>1005</v>
      </c>
      <c r="AK466" s="81" t="n">
        <f aca="false">246+151</f>
        <v>397</v>
      </c>
      <c r="AL466" s="81" t="s">
        <v>1005</v>
      </c>
      <c r="AM466" s="81" t="n">
        <f aca="false">O466+Q466+S466+U466+W466+Y466+AA466+AC466+AE466+AG466+AI466+AK466</f>
        <v>3776</v>
      </c>
    </row>
    <row collapsed="false" customFormat="false" customHeight="true" hidden="false" ht="16.2" outlineLevel="0" r="467">
      <c r="A467" s="80" t="n">
        <v>241</v>
      </c>
      <c r="B467" s="81" t="s">
        <v>379</v>
      </c>
      <c r="C467" s="82" t="s">
        <v>1033</v>
      </c>
      <c r="D467" s="82" t="s">
        <v>1034</v>
      </c>
      <c r="E467" s="83" t="s">
        <v>1035</v>
      </c>
      <c r="F467" s="84" t="s">
        <v>1036</v>
      </c>
      <c r="G467" s="85"/>
      <c r="H467" s="85"/>
      <c r="I467" s="85"/>
      <c r="J467" s="85"/>
      <c r="K467" s="86" t="s">
        <v>53</v>
      </c>
      <c r="L467" s="86" t="s">
        <v>53</v>
      </c>
      <c r="M467" s="90"/>
      <c r="N467" s="90"/>
      <c r="O467" s="90"/>
      <c r="P467" s="90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90"/>
      <c r="AF467" s="81"/>
      <c r="AG467" s="81"/>
      <c r="AH467" s="81"/>
      <c r="AI467" s="81"/>
      <c r="AJ467" s="81"/>
      <c r="AK467" s="81"/>
      <c r="AL467" s="81"/>
      <c r="AM467" s="81" t="n">
        <f aca="false">O467+Q467+S467+U467+W467+Y467+AA467+AC467+AE467+AG467+AI467+AK467</f>
        <v>0</v>
      </c>
    </row>
    <row collapsed="false" customFormat="false" customHeight="true" hidden="false" ht="16.2" outlineLevel="0" r="468">
      <c r="A468" s="80"/>
      <c r="B468" s="89"/>
      <c r="C468" s="85"/>
      <c r="D468" s="85"/>
      <c r="E468" s="83" t="s">
        <v>1037</v>
      </c>
      <c r="F468" s="84" t="s">
        <v>1036</v>
      </c>
      <c r="G468" s="85"/>
      <c r="H468" s="85"/>
      <c r="I468" s="85"/>
      <c r="J468" s="85"/>
      <c r="K468" s="86"/>
      <c r="L468" s="86"/>
      <c r="M468" s="90" t="n">
        <v>7029</v>
      </c>
      <c r="N468" s="90" t="n">
        <f aca="false">2911</f>
        <v>2911</v>
      </c>
      <c r="O468" s="90" t="n">
        <v>513</v>
      </c>
      <c r="P468" s="90" t="s">
        <v>1005</v>
      </c>
      <c r="Q468" s="81" t="n">
        <v>420</v>
      </c>
      <c r="R468" s="90" t="s">
        <v>1005</v>
      </c>
      <c r="S468" s="81" t="n">
        <v>328</v>
      </c>
      <c r="T468" s="81" t="s">
        <v>1005</v>
      </c>
      <c r="U468" s="81" t="n">
        <v>313</v>
      </c>
      <c r="V468" s="81" t="s">
        <v>1005</v>
      </c>
      <c r="W468" s="81" t="n">
        <v>283</v>
      </c>
      <c r="X468" s="81" t="s">
        <v>1005</v>
      </c>
      <c r="Y468" s="81" t="n">
        <v>283</v>
      </c>
      <c r="Z468" s="81" t="s">
        <v>1005</v>
      </c>
      <c r="AA468" s="81" t="n">
        <v>185</v>
      </c>
      <c r="AB468" s="81" t="s">
        <v>1005</v>
      </c>
      <c r="AC468" s="81" t="n">
        <v>407</v>
      </c>
      <c r="AD468" s="81" t="s">
        <v>1005</v>
      </c>
      <c r="AE468" s="90" t="n">
        <v>407</v>
      </c>
      <c r="AF468" s="81" t="s">
        <v>1005</v>
      </c>
      <c r="AG468" s="81" t="n">
        <f aca="false">213+207</f>
        <v>420</v>
      </c>
      <c r="AH468" s="81" t="s">
        <v>1005</v>
      </c>
      <c r="AI468" s="81" t="n">
        <f aca="false">344+262</f>
        <v>606</v>
      </c>
      <c r="AJ468" s="81" t="s">
        <v>1005</v>
      </c>
      <c r="AK468" s="81" t="n">
        <f aca="false">314+220</f>
        <v>534</v>
      </c>
      <c r="AL468" s="81" t="s">
        <v>1005</v>
      </c>
      <c r="AM468" s="81" t="n">
        <f aca="false">O468+Q468+S468+U468+W468+Y468+AA468+AC468+AE468+AG468+AI468+AK468</f>
        <v>4699</v>
      </c>
    </row>
    <row collapsed="false" customFormat="false" customHeight="true" hidden="false" ht="16.2" outlineLevel="0" r="469">
      <c r="A469" s="80" t="n">
        <v>242</v>
      </c>
      <c r="B469" s="81" t="s">
        <v>381</v>
      </c>
      <c r="C469" s="82" t="s">
        <v>1033</v>
      </c>
      <c r="D469" s="82" t="s">
        <v>1034</v>
      </c>
      <c r="E469" s="83" t="s">
        <v>1035</v>
      </c>
      <c r="F469" s="84" t="s">
        <v>1036</v>
      </c>
      <c r="G469" s="85"/>
      <c r="H469" s="85"/>
      <c r="I469" s="85"/>
      <c r="J469" s="85"/>
      <c r="K469" s="86" t="s">
        <v>53</v>
      </c>
      <c r="L469" s="86" t="s">
        <v>53</v>
      </c>
      <c r="M469" s="90"/>
      <c r="N469" s="90"/>
      <c r="O469" s="90"/>
      <c r="P469" s="90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90"/>
      <c r="AF469" s="81"/>
      <c r="AG469" s="81"/>
      <c r="AH469" s="81"/>
      <c r="AI469" s="81"/>
      <c r="AJ469" s="81"/>
      <c r="AK469" s="81"/>
      <c r="AL469" s="81"/>
      <c r="AM469" s="81" t="n">
        <f aca="false">O469+Q469+S469+U469+W469+Y469+AA469+AC469+AE469+AG469+AI469+AK469</f>
        <v>0</v>
      </c>
    </row>
    <row collapsed="false" customFormat="false" customHeight="true" hidden="false" ht="16.2" outlineLevel="0" r="470">
      <c r="A470" s="80"/>
      <c r="B470" s="89"/>
      <c r="C470" s="85"/>
      <c r="D470" s="85"/>
      <c r="E470" s="83" t="s">
        <v>1037</v>
      </c>
      <c r="F470" s="84" t="s">
        <v>1036</v>
      </c>
      <c r="G470" s="85"/>
      <c r="H470" s="85"/>
      <c r="I470" s="85"/>
      <c r="J470" s="85"/>
      <c r="K470" s="86"/>
      <c r="L470" s="86"/>
      <c r="M470" s="90" t="n">
        <f aca="false">1994+27981</f>
        <v>29975</v>
      </c>
      <c r="N470" s="90" t="n">
        <f aca="false">2142+2339</f>
        <v>4481</v>
      </c>
      <c r="O470" s="90" t="n">
        <v>646</v>
      </c>
      <c r="P470" s="90" t="s">
        <v>1005</v>
      </c>
      <c r="Q470" s="81" t="n">
        <v>569</v>
      </c>
      <c r="R470" s="90" t="s">
        <v>1005</v>
      </c>
      <c r="S470" s="81" t="n">
        <v>432</v>
      </c>
      <c r="T470" s="81" t="s">
        <v>1005</v>
      </c>
      <c r="U470" s="81" t="n">
        <v>386</v>
      </c>
      <c r="V470" s="81" t="s">
        <v>1005</v>
      </c>
      <c r="W470" s="81" t="n">
        <v>382</v>
      </c>
      <c r="X470" s="81" t="s">
        <v>1005</v>
      </c>
      <c r="Y470" s="81" t="n">
        <v>261</v>
      </c>
      <c r="Z470" s="81" t="s">
        <v>1005</v>
      </c>
      <c r="AA470" s="81" t="n">
        <v>268</v>
      </c>
      <c r="AB470" s="81" t="s">
        <v>1005</v>
      </c>
      <c r="AC470" s="81" t="n">
        <v>447</v>
      </c>
      <c r="AD470" s="81" t="s">
        <v>1005</v>
      </c>
      <c r="AE470" s="90" t="n">
        <v>447</v>
      </c>
      <c r="AF470" s="81" t="s">
        <v>1005</v>
      </c>
      <c r="AG470" s="81" t="n">
        <f aca="false">214+251</f>
        <v>465</v>
      </c>
      <c r="AH470" s="81" t="s">
        <v>1005</v>
      </c>
      <c r="AI470" s="81" t="n">
        <f aca="false">312+283</f>
        <v>595</v>
      </c>
      <c r="AJ470" s="81" t="s">
        <v>1005</v>
      </c>
      <c r="AK470" s="81" t="n">
        <f aca="false">328+261</f>
        <v>589</v>
      </c>
      <c r="AL470" s="81" t="s">
        <v>1005</v>
      </c>
      <c r="AM470" s="81" t="n">
        <f aca="false">O470+Q470+S470+U470+W470+Y470+AA470+AC470+AE470+AG470+AI470+AK470</f>
        <v>5487</v>
      </c>
    </row>
    <row collapsed="false" customFormat="false" customHeight="true" hidden="false" ht="16.2" outlineLevel="0" r="471">
      <c r="A471" s="80" t="n">
        <v>243</v>
      </c>
      <c r="B471" s="81" t="s">
        <v>382</v>
      </c>
      <c r="C471" s="82" t="s">
        <v>1033</v>
      </c>
      <c r="D471" s="82" t="s">
        <v>1034</v>
      </c>
      <c r="E471" s="83" t="s">
        <v>1035</v>
      </c>
      <c r="F471" s="84" t="s">
        <v>1036</v>
      </c>
      <c r="G471" s="85"/>
      <c r="H471" s="85"/>
      <c r="I471" s="85"/>
      <c r="J471" s="85"/>
      <c r="K471" s="86" t="s">
        <v>53</v>
      </c>
      <c r="L471" s="86" t="s">
        <v>53</v>
      </c>
      <c r="M471" s="90"/>
      <c r="N471" s="90"/>
      <c r="O471" s="90"/>
      <c r="P471" s="90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90"/>
      <c r="AF471" s="81"/>
      <c r="AG471" s="81"/>
      <c r="AH471" s="81"/>
      <c r="AI471" s="81"/>
      <c r="AJ471" s="81"/>
      <c r="AK471" s="81"/>
      <c r="AL471" s="81"/>
      <c r="AM471" s="81" t="n">
        <f aca="false">O471+Q471+S471+U471+W471+Y471+AA471+AC471+AE471+AG471+AI471+AK471</f>
        <v>0</v>
      </c>
    </row>
    <row collapsed="false" customFormat="false" customHeight="true" hidden="false" ht="16.2" outlineLevel="0" r="472">
      <c r="A472" s="80"/>
      <c r="B472" s="89"/>
      <c r="C472" s="85"/>
      <c r="D472" s="85"/>
      <c r="E472" s="83" t="s">
        <v>1037</v>
      </c>
      <c r="F472" s="84" t="s">
        <v>1036</v>
      </c>
      <c r="G472" s="85"/>
      <c r="H472" s="85"/>
      <c r="I472" s="85"/>
      <c r="J472" s="85"/>
      <c r="K472" s="86"/>
      <c r="L472" s="86"/>
      <c r="M472" s="90" t="n">
        <f aca="false">3407+1437</f>
        <v>4844</v>
      </c>
      <c r="N472" s="90" t="n">
        <f aca="false">2319+1910</f>
        <v>4229</v>
      </c>
      <c r="O472" s="90" t="n">
        <v>443</v>
      </c>
      <c r="P472" s="90" t="s">
        <v>1005</v>
      </c>
      <c r="Q472" s="81" t="n">
        <v>440</v>
      </c>
      <c r="R472" s="90" t="s">
        <v>1005</v>
      </c>
      <c r="S472" s="81" t="n">
        <v>363</v>
      </c>
      <c r="T472" s="81" t="s">
        <v>1005</v>
      </c>
      <c r="U472" s="81" t="n">
        <v>375</v>
      </c>
      <c r="V472" s="81" t="s">
        <v>1005</v>
      </c>
      <c r="W472" s="81" t="n">
        <v>535</v>
      </c>
      <c r="X472" s="81" t="s">
        <v>1005</v>
      </c>
      <c r="Y472" s="81" t="n">
        <v>420</v>
      </c>
      <c r="Z472" s="81" t="s">
        <v>1005</v>
      </c>
      <c r="AA472" s="81" t="n">
        <v>287</v>
      </c>
      <c r="AB472" s="81" t="s">
        <v>1005</v>
      </c>
      <c r="AC472" s="81" t="n">
        <v>434</v>
      </c>
      <c r="AD472" s="81" t="s">
        <v>1005</v>
      </c>
      <c r="AE472" s="90" t="n">
        <v>434</v>
      </c>
      <c r="AF472" s="81" t="s">
        <v>1005</v>
      </c>
      <c r="AG472" s="81" t="n">
        <f aca="false">243+113</f>
        <v>356</v>
      </c>
      <c r="AH472" s="81" t="s">
        <v>1005</v>
      </c>
      <c r="AI472" s="81" t="n">
        <f aca="false">320+159</f>
        <v>479</v>
      </c>
      <c r="AJ472" s="81" t="s">
        <v>1005</v>
      </c>
      <c r="AK472" s="81" t="n">
        <f aca="false">316+137</f>
        <v>453</v>
      </c>
      <c r="AL472" s="81" t="s">
        <v>1005</v>
      </c>
      <c r="AM472" s="81" t="n">
        <f aca="false">O472+Q472+S472+U472+W472+Y472+AA472+AC472+AE472+AG472+AI472+AK472</f>
        <v>5019</v>
      </c>
    </row>
    <row collapsed="false" customFormat="false" customHeight="true" hidden="false" ht="16.2" outlineLevel="0" r="473">
      <c r="A473" s="80" t="n">
        <v>244</v>
      </c>
      <c r="B473" s="100" t="s">
        <v>384</v>
      </c>
      <c r="C473" s="82" t="s">
        <v>1033</v>
      </c>
      <c r="D473" s="92" t="s">
        <v>1056</v>
      </c>
      <c r="E473" s="83" t="s">
        <v>1035</v>
      </c>
      <c r="F473" s="49" t="s">
        <v>1036</v>
      </c>
      <c r="G473" s="92"/>
      <c r="H473" s="85"/>
      <c r="I473" s="85"/>
      <c r="J473" s="85"/>
      <c r="K473" s="93"/>
      <c r="L473" s="93"/>
      <c r="M473" s="81"/>
      <c r="N473" s="81"/>
      <c r="O473" s="90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  <c r="AL473" s="95"/>
      <c r="AM473" s="81"/>
    </row>
    <row collapsed="false" customFormat="false" customHeight="true" hidden="false" ht="16.2" outlineLevel="0" r="474">
      <c r="A474" s="80"/>
      <c r="B474" s="101"/>
      <c r="C474" s="85"/>
      <c r="D474" s="92"/>
      <c r="E474" s="83" t="s">
        <v>1037</v>
      </c>
      <c r="F474" s="49" t="s">
        <v>1036</v>
      </c>
      <c r="G474" s="85" t="s">
        <v>1057</v>
      </c>
      <c r="H474" s="85" t="n">
        <v>12</v>
      </c>
      <c r="I474" s="85"/>
      <c r="J474" s="85"/>
      <c r="K474" s="93" t="s">
        <v>53</v>
      </c>
      <c r="L474" s="93" t="s">
        <v>53</v>
      </c>
      <c r="M474" s="81" t="n">
        <v>2356</v>
      </c>
      <c r="N474" s="81" t="n">
        <v>2280</v>
      </c>
      <c r="O474" s="90" t="n">
        <v>270</v>
      </c>
      <c r="P474" s="95" t="s">
        <v>1005</v>
      </c>
      <c r="Q474" s="81" t="n">
        <v>302</v>
      </c>
      <c r="R474" s="95" t="s">
        <v>1005</v>
      </c>
      <c r="S474" s="81" t="n">
        <v>170</v>
      </c>
      <c r="T474" s="95" t="s">
        <v>1005</v>
      </c>
      <c r="U474" s="81" t="n">
        <v>146</v>
      </c>
      <c r="V474" s="95" t="s">
        <v>1005</v>
      </c>
      <c r="W474" s="81" t="n">
        <v>83</v>
      </c>
      <c r="X474" s="95" t="s">
        <v>1005</v>
      </c>
      <c r="Y474" s="81" t="n">
        <v>92</v>
      </c>
      <c r="Z474" s="95" t="s">
        <v>1005</v>
      </c>
      <c r="AA474" s="81" t="n">
        <v>138</v>
      </c>
      <c r="AB474" s="95" t="s">
        <v>1005</v>
      </c>
      <c r="AC474" s="81" t="n">
        <v>109</v>
      </c>
      <c r="AD474" s="95" t="s">
        <v>1005</v>
      </c>
      <c r="AE474" s="81" t="n">
        <v>189</v>
      </c>
      <c r="AF474" s="95" t="s">
        <v>1005</v>
      </c>
      <c r="AG474" s="81" t="n">
        <v>149</v>
      </c>
      <c r="AH474" s="95" t="s">
        <v>1005</v>
      </c>
      <c r="AI474" s="81" t="n">
        <v>243</v>
      </c>
      <c r="AJ474" s="95" t="s">
        <v>1005</v>
      </c>
      <c r="AK474" s="81" t="n">
        <v>240</v>
      </c>
      <c r="AL474" s="95" t="s">
        <v>1005</v>
      </c>
      <c r="AM474" s="81" t="n">
        <f aca="false">O474+Q474+S474+U474+W474+Y474+AA474+AC474+AE474+AG474+AI474+AK474</f>
        <v>2131</v>
      </c>
    </row>
    <row collapsed="false" customFormat="false" customHeight="true" hidden="false" ht="16.2" outlineLevel="0" r="475">
      <c r="A475" s="80" t="n">
        <v>245</v>
      </c>
      <c r="B475" s="100" t="s">
        <v>385</v>
      </c>
      <c r="C475" s="82" t="s">
        <v>1033</v>
      </c>
      <c r="D475" s="92" t="s">
        <v>1056</v>
      </c>
      <c r="E475" s="83" t="s">
        <v>1035</v>
      </c>
      <c r="F475" s="49" t="s">
        <v>1036</v>
      </c>
      <c r="G475" s="92"/>
      <c r="H475" s="85"/>
      <c r="I475" s="85"/>
      <c r="J475" s="85"/>
      <c r="K475" s="93"/>
      <c r="L475" s="93"/>
      <c r="M475" s="81"/>
      <c r="N475" s="81"/>
      <c r="O475" s="90"/>
      <c r="P475" s="95"/>
      <c r="Q475" s="81"/>
      <c r="R475" s="95"/>
      <c r="S475" s="81"/>
      <c r="T475" s="95"/>
      <c r="U475" s="81"/>
      <c r="V475" s="95"/>
      <c r="W475" s="81"/>
      <c r="X475" s="95"/>
      <c r="Y475" s="81"/>
      <c r="Z475" s="95"/>
      <c r="AA475" s="81"/>
      <c r="AB475" s="95"/>
      <c r="AC475" s="81"/>
      <c r="AD475" s="95"/>
      <c r="AE475" s="81"/>
      <c r="AF475" s="95"/>
      <c r="AG475" s="81"/>
      <c r="AH475" s="95"/>
      <c r="AI475" s="81"/>
      <c r="AJ475" s="95"/>
      <c r="AK475" s="81"/>
      <c r="AL475" s="95"/>
      <c r="AM475" s="81"/>
    </row>
    <row collapsed="false" customFormat="false" customHeight="true" hidden="false" ht="16.2" outlineLevel="0" r="476">
      <c r="A476" s="80"/>
      <c r="B476" s="101"/>
      <c r="C476" s="85"/>
      <c r="D476" s="92"/>
      <c r="E476" s="83" t="s">
        <v>1037</v>
      </c>
      <c r="F476" s="49" t="s">
        <v>1036</v>
      </c>
      <c r="G476" s="85" t="s">
        <v>1057</v>
      </c>
      <c r="H476" s="85" t="n">
        <v>36</v>
      </c>
      <c r="I476" s="85"/>
      <c r="J476" s="85"/>
      <c r="K476" s="93" t="s">
        <v>53</v>
      </c>
      <c r="L476" s="93" t="s">
        <v>53</v>
      </c>
      <c r="M476" s="81" t="n">
        <v>2930</v>
      </c>
      <c r="N476" s="81" t="n">
        <v>1808</v>
      </c>
      <c r="O476" s="90" t="n">
        <v>207</v>
      </c>
      <c r="P476" s="95" t="s">
        <v>1005</v>
      </c>
      <c r="Q476" s="81" t="n">
        <v>262</v>
      </c>
      <c r="R476" s="95" t="s">
        <v>1005</v>
      </c>
      <c r="S476" s="81" t="n">
        <v>141</v>
      </c>
      <c r="T476" s="95" t="s">
        <v>1005</v>
      </c>
      <c r="U476" s="81" t="n">
        <v>129</v>
      </c>
      <c r="V476" s="95" t="s">
        <v>1005</v>
      </c>
      <c r="W476" s="81" t="n">
        <v>123</v>
      </c>
      <c r="X476" s="95" t="s">
        <v>1005</v>
      </c>
      <c r="Y476" s="81" t="n">
        <v>99</v>
      </c>
      <c r="Z476" s="95" t="s">
        <v>1005</v>
      </c>
      <c r="AA476" s="81" t="n">
        <v>80</v>
      </c>
      <c r="AB476" s="95" t="s">
        <v>1005</v>
      </c>
      <c r="AC476" s="81" t="n">
        <v>111</v>
      </c>
      <c r="AD476" s="95" t="s">
        <v>1005</v>
      </c>
      <c r="AE476" s="81" t="n">
        <v>250</v>
      </c>
      <c r="AF476" s="95" t="s">
        <v>1005</v>
      </c>
      <c r="AG476" s="81" t="n">
        <v>202</v>
      </c>
      <c r="AH476" s="95" t="s">
        <v>1005</v>
      </c>
      <c r="AI476" s="81" t="n">
        <v>153</v>
      </c>
      <c r="AJ476" s="95" t="s">
        <v>1005</v>
      </c>
      <c r="AK476" s="81" t="n">
        <v>151</v>
      </c>
      <c r="AL476" s="95" t="s">
        <v>1005</v>
      </c>
      <c r="AM476" s="81" t="n">
        <f aca="false">O476+Q476+S476+U476+W476+Y476+AA476+AC476+AE476+AG476+AI476+AK476</f>
        <v>1908</v>
      </c>
    </row>
    <row collapsed="false" customFormat="false" customHeight="true" hidden="false" ht="16.2" outlineLevel="0" r="477">
      <c r="A477" s="80" t="n">
        <v>246</v>
      </c>
      <c r="B477" s="100" t="s">
        <v>386</v>
      </c>
      <c r="C477" s="82" t="s">
        <v>1033</v>
      </c>
      <c r="D477" s="92" t="s">
        <v>1056</v>
      </c>
      <c r="E477" s="83" t="s">
        <v>1035</v>
      </c>
      <c r="F477" s="49" t="s">
        <v>1036</v>
      </c>
      <c r="G477" s="92"/>
      <c r="H477" s="85"/>
      <c r="I477" s="85"/>
      <c r="J477" s="85"/>
      <c r="K477" s="93"/>
      <c r="L477" s="93"/>
      <c r="M477" s="81"/>
      <c r="N477" s="81"/>
      <c r="O477" s="90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  <c r="AE477" s="95"/>
      <c r="AF477" s="95"/>
      <c r="AG477" s="95"/>
      <c r="AH477" s="95"/>
      <c r="AI477" s="95"/>
      <c r="AJ477" s="95"/>
      <c r="AK477" s="95"/>
      <c r="AL477" s="95"/>
      <c r="AM477" s="81"/>
    </row>
    <row collapsed="false" customFormat="false" customHeight="true" hidden="false" ht="16.2" outlineLevel="0" r="478">
      <c r="A478" s="80"/>
      <c r="B478" s="101"/>
      <c r="C478" s="85"/>
      <c r="D478" s="92"/>
      <c r="E478" s="83" t="s">
        <v>1037</v>
      </c>
      <c r="F478" s="49" t="s">
        <v>1036</v>
      </c>
      <c r="G478" s="85" t="s">
        <v>1057</v>
      </c>
      <c r="H478" s="85" t="n">
        <v>36</v>
      </c>
      <c r="I478" s="85" t="s">
        <v>1046</v>
      </c>
      <c r="J478" s="85" t="n">
        <v>6</v>
      </c>
      <c r="K478" s="93" t="s">
        <v>53</v>
      </c>
      <c r="L478" s="93" t="s">
        <v>53</v>
      </c>
      <c r="M478" s="81" t="n">
        <v>10048</v>
      </c>
      <c r="N478" s="81" t="n">
        <v>9119</v>
      </c>
      <c r="O478" s="90" t="n">
        <v>1097</v>
      </c>
      <c r="P478" s="95" t="s">
        <v>1005</v>
      </c>
      <c r="Q478" s="81" t="n">
        <v>1074</v>
      </c>
      <c r="R478" s="95" t="s">
        <v>1005</v>
      </c>
      <c r="S478" s="81" t="n">
        <v>647</v>
      </c>
      <c r="T478" s="95" t="s">
        <v>1005</v>
      </c>
      <c r="U478" s="81" t="n">
        <v>731</v>
      </c>
      <c r="V478" s="95" t="s">
        <v>1005</v>
      </c>
      <c r="W478" s="81" t="n">
        <v>556</v>
      </c>
      <c r="X478" s="95" t="s">
        <v>1005</v>
      </c>
      <c r="Y478" s="81" t="n">
        <v>432</v>
      </c>
      <c r="Z478" s="95" t="s">
        <v>1005</v>
      </c>
      <c r="AA478" s="81" t="n">
        <v>390</v>
      </c>
      <c r="AB478" s="95" t="s">
        <v>1005</v>
      </c>
      <c r="AC478" s="81" t="n">
        <v>486</v>
      </c>
      <c r="AD478" s="95" t="s">
        <v>1005</v>
      </c>
      <c r="AE478" s="81" t="n">
        <v>679</v>
      </c>
      <c r="AF478" s="95" t="s">
        <v>1005</v>
      </c>
      <c r="AG478" s="81" t="n">
        <v>789</v>
      </c>
      <c r="AH478" s="95" t="s">
        <v>1005</v>
      </c>
      <c r="AI478" s="81" t="n">
        <v>1066</v>
      </c>
      <c r="AJ478" s="95" t="s">
        <v>1005</v>
      </c>
      <c r="AK478" s="81" t="n">
        <v>1058</v>
      </c>
      <c r="AL478" s="95" t="s">
        <v>1005</v>
      </c>
      <c r="AM478" s="81" t="n">
        <f aca="false">O478+Q478+S478+U478+W478+Y478+AA478+AC478+AE478+AG478+AI478+AK478</f>
        <v>9005</v>
      </c>
    </row>
    <row collapsed="false" customFormat="false" customHeight="true" hidden="false" ht="16.2" outlineLevel="0" r="479">
      <c r="A479" s="80" t="n">
        <v>247</v>
      </c>
      <c r="B479" s="100" t="s">
        <v>388</v>
      </c>
      <c r="C479" s="82" t="s">
        <v>1033</v>
      </c>
      <c r="D479" s="92" t="s">
        <v>1056</v>
      </c>
      <c r="E479" s="83" t="s">
        <v>1035</v>
      </c>
      <c r="F479" s="49" t="s">
        <v>1036</v>
      </c>
      <c r="G479" s="92"/>
      <c r="H479" s="85"/>
      <c r="I479" s="85"/>
      <c r="J479" s="85"/>
      <c r="K479" s="93"/>
      <c r="L479" s="93"/>
      <c r="M479" s="81"/>
      <c r="N479" s="81"/>
      <c r="O479" s="90"/>
      <c r="P479" s="95"/>
      <c r="Q479" s="81"/>
      <c r="R479" s="95"/>
      <c r="S479" s="81"/>
      <c r="T479" s="95"/>
      <c r="U479" s="81"/>
      <c r="V479" s="95"/>
      <c r="W479" s="81"/>
      <c r="X479" s="95"/>
      <c r="Y479" s="81"/>
      <c r="Z479" s="95"/>
      <c r="AA479" s="81"/>
      <c r="AB479" s="95"/>
      <c r="AC479" s="81"/>
      <c r="AD479" s="95"/>
      <c r="AE479" s="81"/>
      <c r="AF479" s="95"/>
      <c r="AG479" s="81"/>
      <c r="AH479" s="95"/>
      <c r="AI479" s="81"/>
      <c r="AJ479" s="95"/>
      <c r="AK479" s="81"/>
      <c r="AL479" s="95"/>
      <c r="AM479" s="81"/>
    </row>
    <row collapsed="false" customFormat="false" customHeight="true" hidden="false" ht="16.2" outlineLevel="0" r="480">
      <c r="A480" s="80"/>
      <c r="B480" s="101"/>
      <c r="C480" s="85"/>
      <c r="D480" s="92"/>
      <c r="E480" s="83" t="s">
        <v>1037</v>
      </c>
      <c r="F480" s="49" t="s">
        <v>1036</v>
      </c>
      <c r="G480" s="85" t="s">
        <v>1057</v>
      </c>
      <c r="H480" s="85" t="n">
        <v>20</v>
      </c>
      <c r="I480" s="85"/>
      <c r="J480" s="85"/>
      <c r="K480" s="93" t="s">
        <v>53</v>
      </c>
      <c r="L480" s="93" t="s">
        <v>53</v>
      </c>
      <c r="M480" s="81" t="n">
        <v>5635</v>
      </c>
      <c r="N480" s="81" t="n">
        <v>5934</v>
      </c>
      <c r="O480" s="90" t="n">
        <v>720</v>
      </c>
      <c r="P480" s="95" t="s">
        <v>1005</v>
      </c>
      <c r="Q480" s="81" t="n">
        <v>685</v>
      </c>
      <c r="R480" s="95" t="s">
        <v>1005</v>
      </c>
      <c r="S480" s="81" t="n">
        <v>352</v>
      </c>
      <c r="T480" s="95" t="s">
        <v>1005</v>
      </c>
      <c r="U480" s="81" t="n">
        <v>488</v>
      </c>
      <c r="V480" s="95" t="s">
        <v>1005</v>
      </c>
      <c r="W480" s="81" t="n">
        <v>381</v>
      </c>
      <c r="X480" s="95" t="s">
        <v>1005</v>
      </c>
      <c r="Y480" s="81" t="n">
        <v>367</v>
      </c>
      <c r="Z480" s="95" t="s">
        <v>1005</v>
      </c>
      <c r="AA480" s="81" t="n">
        <v>387</v>
      </c>
      <c r="AB480" s="95" t="s">
        <v>1005</v>
      </c>
      <c r="AC480" s="81" t="n">
        <v>423</v>
      </c>
      <c r="AD480" s="95" t="s">
        <v>1005</v>
      </c>
      <c r="AE480" s="81" t="n">
        <v>494</v>
      </c>
      <c r="AF480" s="95" t="s">
        <v>1005</v>
      </c>
      <c r="AG480" s="81" t="n">
        <v>507</v>
      </c>
      <c r="AH480" s="95" t="s">
        <v>1005</v>
      </c>
      <c r="AI480" s="81" t="n">
        <v>590</v>
      </c>
      <c r="AJ480" s="95" t="s">
        <v>1005</v>
      </c>
      <c r="AK480" s="81" t="n">
        <v>582</v>
      </c>
      <c r="AL480" s="95" t="s">
        <v>1005</v>
      </c>
      <c r="AM480" s="81" t="n">
        <f aca="false">O480+Q480+S480+U480+W480+Y480+AA480+AC480+AE480+AG480+AI480+AK480</f>
        <v>5976</v>
      </c>
    </row>
    <row collapsed="false" customFormat="false" customHeight="true" hidden="false" ht="16.2" outlineLevel="0" r="481">
      <c r="A481" s="80" t="n">
        <v>248</v>
      </c>
      <c r="B481" s="81"/>
      <c r="C481" s="82" t="s">
        <v>1033</v>
      </c>
      <c r="D481" s="85"/>
      <c r="E481" s="83" t="s">
        <v>1035</v>
      </c>
      <c r="F481" s="49" t="s">
        <v>1036</v>
      </c>
      <c r="G481" s="85"/>
      <c r="H481" s="85"/>
      <c r="I481" s="85"/>
      <c r="J481" s="85"/>
      <c r="K481" s="85"/>
      <c r="L481" s="85"/>
      <c r="M481" s="81"/>
      <c r="N481" s="81"/>
      <c r="O481" s="96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</row>
    <row collapsed="false" customFormat="false" customHeight="true" hidden="false" ht="16.2" outlineLevel="0" r="482">
      <c r="A482" s="80"/>
      <c r="B482" s="81" t="s">
        <v>390</v>
      </c>
      <c r="C482" s="85"/>
      <c r="D482" s="85" t="s">
        <v>1054</v>
      </c>
      <c r="E482" s="83" t="s">
        <v>1037</v>
      </c>
      <c r="F482" s="49" t="s">
        <v>1036</v>
      </c>
      <c r="G482" s="85" t="s">
        <v>1042</v>
      </c>
      <c r="H482" s="85" t="n">
        <v>7</v>
      </c>
      <c r="I482" s="85" t="s">
        <v>1039</v>
      </c>
      <c r="J482" s="85" t="n">
        <v>3</v>
      </c>
      <c r="K482" s="85" t="s">
        <v>1041</v>
      </c>
      <c r="L482" s="85" t="s">
        <v>1041</v>
      </c>
      <c r="M482" s="81"/>
      <c r="N482" s="81"/>
      <c r="O482" s="96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</row>
    <row collapsed="false" customFormat="false" customHeight="true" hidden="false" ht="16.2" outlineLevel="0" r="483">
      <c r="A483" s="80" t="n">
        <v>249</v>
      </c>
      <c r="B483" s="100" t="s">
        <v>393</v>
      </c>
      <c r="C483" s="82" t="s">
        <v>1033</v>
      </c>
      <c r="D483" s="92" t="s">
        <v>1056</v>
      </c>
      <c r="E483" s="83" t="s">
        <v>1035</v>
      </c>
      <c r="F483" s="49" t="s">
        <v>1036</v>
      </c>
      <c r="G483" s="92"/>
      <c r="H483" s="85"/>
      <c r="I483" s="85"/>
      <c r="J483" s="85"/>
      <c r="K483" s="93"/>
      <c r="L483" s="93"/>
      <c r="M483" s="81"/>
      <c r="N483" s="81"/>
      <c r="O483" s="90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  <c r="AE483" s="95"/>
      <c r="AF483" s="95"/>
      <c r="AG483" s="95"/>
      <c r="AH483" s="95"/>
      <c r="AI483" s="95"/>
      <c r="AJ483" s="95"/>
      <c r="AK483" s="95"/>
      <c r="AL483" s="95"/>
      <c r="AM483" s="81"/>
    </row>
    <row collapsed="false" customFormat="false" customHeight="true" hidden="false" ht="16.2" outlineLevel="0" r="484">
      <c r="A484" s="80"/>
      <c r="B484" s="101"/>
      <c r="C484" s="85"/>
      <c r="D484" s="92"/>
      <c r="E484" s="83" t="s">
        <v>1037</v>
      </c>
      <c r="F484" s="49" t="s">
        <v>1036</v>
      </c>
      <c r="G484" s="85" t="s">
        <v>1057</v>
      </c>
      <c r="H484" s="85" t="n">
        <v>12</v>
      </c>
      <c r="I484" s="85" t="s">
        <v>1046</v>
      </c>
      <c r="J484" s="85" t="n">
        <v>3</v>
      </c>
      <c r="K484" s="93" t="s">
        <v>53</v>
      </c>
      <c r="L484" s="93" t="s">
        <v>53</v>
      </c>
      <c r="M484" s="81" t="n">
        <v>4581</v>
      </c>
      <c r="N484" s="81" t="n">
        <v>4638</v>
      </c>
      <c r="O484" s="90" t="n">
        <v>478</v>
      </c>
      <c r="P484" s="95" t="s">
        <v>1005</v>
      </c>
      <c r="Q484" s="81" t="n">
        <v>545</v>
      </c>
      <c r="R484" s="95" t="s">
        <v>1005</v>
      </c>
      <c r="S484" s="81" t="n">
        <v>335</v>
      </c>
      <c r="T484" s="95" t="s">
        <v>1005</v>
      </c>
      <c r="U484" s="81" t="n">
        <v>374</v>
      </c>
      <c r="V484" s="95" t="s">
        <v>1005</v>
      </c>
      <c r="W484" s="81" t="n">
        <v>272</v>
      </c>
      <c r="X484" s="95" t="s">
        <v>1005</v>
      </c>
      <c r="Y484" s="81" t="n">
        <v>139</v>
      </c>
      <c r="Z484" s="95" t="s">
        <v>1005</v>
      </c>
      <c r="AA484" s="81" t="n">
        <v>156</v>
      </c>
      <c r="AB484" s="95" t="s">
        <v>1005</v>
      </c>
      <c r="AC484" s="81" t="n">
        <v>192</v>
      </c>
      <c r="AD484" s="95" t="s">
        <v>1005</v>
      </c>
      <c r="AE484" s="81" t="n">
        <v>361</v>
      </c>
      <c r="AF484" s="95" t="s">
        <v>1005</v>
      </c>
      <c r="AG484" s="81" t="n">
        <v>417</v>
      </c>
      <c r="AH484" s="95" t="s">
        <v>1005</v>
      </c>
      <c r="AI484" s="81" t="n">
        <v>495</v>
      </c>
      <c r="AJ484" s="95" t="s">
        <v>1005</v>
      </c>
      <c r="AK484" s="81" t="n">
        <v>481</v>
      </c>
      <c r="AL484" s="95" t="s">
        <v>1005</v>
      </c>
      <c r="AM484" s="81" t="n">
        <f aca="false">O484+Q484+S484+U484+W484+Y484+AA484+AC484+AE484+AG484+AI484+AK484</f>
        <v>4245</v>
      </c>
    </row>
    <row collapsed="false" customFormat="false" customHeight="true" hidden="false" ht="16.2" outlineLevel="0" r="485">
      <c r="A485" s="80" t="n">
        <v>250</v>
      </c>
      <c r="B485" s="100" t="s">
        <v>394</v>
      </c>
      <c r="C485" s="82" t="s">
        <v>1033</v>
      </c>
      <c r="D485" s="92" t="s">
        <v>1056</v>
      </c>
      <c r="E485" s="83" t="s">
        <v>1035</v>
      </c>
      <c r="F485" s="49" t="s">
        <v>1036</v>
      </c>
      <c r="G485" s="92"/>
      <c r="H485" s="85"/>
      <c r="I485" s="85"/>
      <c r="J485" s="85"/>
      <c r="K485" s="93"/>
      <c r="L485" s="93"/>
      <c r="M485" s="81"/>
      <c r="N485" s="81"/>
      <c r="O485" s="90"/>
      <c r="P485" s="95"/>
      <c r="Q485" s="81"/>
      <c r="R485" s="95"/>
      <c r="S485" s="81"/>
      <c r="T485" s="95"/>
      <c r="U485" s="81"/>
      <c r="V485" s="95"/>
      <c r="W485" s="81"/>
      <c r="X485" s="95"/>
      <c r="Y485" s="81"/>
      <c r="Z485" s="95"/>
      <c r="AA485" s="81"/>
      <c r="AB485" s="95"/>
      <c r="AC485" s="81"/>
      <c r="AD485" s="95"/>
      <c r="AE485" s="81"/>
      <c r="AF485" s="95"/>
      <c r="AG485" s="81"/>
      <c r="AH485" s="95"/>
      <c r="AI485" s="81"/>
      <c r="AJ485" s="95"/>
      <c r="AK485" s="81"/>
      <c r="AL485" s="95"/>
      <c r="AM485" s="81"/>
    </row>
    <row collapsed="false" customFormat="false" customHeight="true" hidden="false" ht="16.2" outlineLevel="0" r="486">
      <c r="A486" s="80"/>
      <c r="B486" s="101"/>
      <c r="C486" s="85"/>
      <c r="D486" s="92"/>
      <c r="E486" s="83" t="s">
        <v>1037</v>
      </c>
      <c r="F486" s="49" t="s">
        <v>1036</v>
      </c>
      <c r="G486" s="85" t="s">
        <v>1057</v>
      </c>
      <c r="H486" s="85" t="n">
        <v>15</v>
      </c>
      <c r="I486" s="85" t="s">
        <v>1046</v>
      </c>
      <c r="J486" s="85" t="n">
        <v>3</v>
      </c>
      <c r="K486" s="93" t="s">
        <v>53</v>
      </c>
      <c r="L486" s="93" t="s">
        <v>53</v>
      </c>
      <c r="M486" s="81" t="n">
        <v>2508</v>
      </c>
      <c r="N486" s="81" t="n">
        <v>3237</v>
      </c>
      <c r="O486" s="90" t="n">
        <v>381</v>
      </c>
      <c r="P486" s="95" t="s">
        <v>1005</v>
      </c>
      <c r="Q486" s="81" t="n">
        <v>482</v>
      </c>
      <c r="R486" s="95" t="s">
        <v>1005</v>
      </c>
      <c r="S486" s="81" t="n">
        <v>294</v>
      </c>
      <c r="T486" s="95" t="s">
        <v>1005</v>
      </c>
      <c r="U486" s="81" t="n">
        <v>292</v>
      </c>
      <c r="V486" s="95" t="s">
        <v>1005</v>
      </c>
      <c r="W486" s="81" t="n">
        <v>260</v>
      </c>
      <c r="X486" s="95" t="s">
        <v>1005</v>
      </c>
      <c r="Y486" s="81" t="n">
        <v>356</v>
      </c>
      <c r="Z486" s="95" t="s">
        <v>1005</v>
      </c>
      <c r="AA486" s="81" t="n">
        <v>119</v>
      </c>
      <c r="AB486" s="95" t="s">
        <v>1005</v>
      </c>
      <c r="AC486" s="81" t="n">
        <v>134</v>
      </c>
      <c r="AD486" s="95" t="s">
        <v>1005</v>
      </c>
      <c r="AE486" s="81" t="n">
        <v>206</v>
      </c>
      <c r="AF486" s="95" t="s">
        <v>1005</v>
      </c>
      <c r="AG486" s="81" t="n">
        <v>261</v>
      </c>
      <c r="AH486" s="95" t="s">
        <v>1005</v>
      </c>
      <c r="AI486" s="81" t="n">
        <v>293</v>
      </c>
      <c r="AJ486" s="95" t="s">
        <v>1005</v>
      </c>
      <c r="AK486" s="81" t="n">
        <v>283</v>
      </c>
      <c r="AL486" s="95" t="s">
        <v>1005</v>
      </c>
      <c r="AM486" s="81" t="n">
        <f aca="false">O486+Q486+S486+U486+W486+Y486+AA486+AC486+AE486+AG486+AI486+AK486</f>
        <v>3361</v>
      </c>
    </row>
    <row collapsed="false" customFormat="false" customHeight="true" hidden="false" ht="16.2" outlineLevel="0" r="487">
      <c r="A487" s="80" t="n">
        <v>251</v>
      </c>
      <c r="B487" s="81" t="s">
        <v>396</v>
      </c>
      <c r="C487" s="82" t="s">
        <v>1033</v>
      </c>
      <c r="D487" s="82" t="s">
        <v>1034</v>
      </c>
      <c r="E487" s="83" t="s">
        <v>1035</v>
      </c>
      <c r="F487" s="84" t="s">
        <v>1036</v>
      </c>
      <c r="G487" s="85"/>
      <c r="H487" s="85"/>
      <c r="I487" s="85"/>
      <c r="J487" s="85"/>
      <c r="K487" s="86" t="s">
        <v>53</v>
      </c>
      <c r="L487" s="86" t="s">
        <v>53</v>
      </c>
      <c r="M487" s="90"/>
      <c r="N487" s="90"/>
      <c r="O487" s="90"/>
      <c r="P487" s="90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  <c r="AC487" s="81"/>
      <c r="AD487" s="81"/>
      <c r="AE487" s="90"/>
      <c r="AF487" s="81"/>
      <c r="AG487" s="81"/>
      <c r="AH487" s="81"/>
      <c r="AI487" s="81"/>
      <c r="AJ487" s="81"/>
      <c r="AK487" s="81"/>
      <c r="AL487" s="81"/>
      <c r="AM487" s="81" t="n">
        <f aca="false">O487+Q487+S487+U487+W487+Y487+AA487+AC487+AE487+AG487+AI487+AK487</f>
        <v>0</v>
      </c>
    </row>
    <row collapsed="false" customFormat="false" customHeight="true" hidden="false" ht="16.2" outlineLevel="0" r="488">
      <c r="A488" s="80"/>
      <c r="B488" s="89"/>
      <c r="C488" s="85"/>
      <c r="D488" s="85"/>
      <c r="E488" s="83" t="s">
        <v>1037</v>
      </c>
      <c r="F488" s="84" t="s">
        <v>1036</v>
      </c>
      <c r="G488" s="85"/>
      <c r="H488" s="85"/>
      <c r="I488" s="85"/>
      <c r="J488" s="85"/>
      <c r="K488" s="86"/>
      <c r="L488" s="86"/>
      <c r="M488" s="90" t="n">
        <v>7019</v>
      </c>
      <c r="N488" s="90" t="n">
        <f aca="false">2818</f>
        <v>2818</v>
      </c>
      <c r="O488" s="90" t="n">
        <v>618</v>
      </c>
      <c r="P488" s="90" t="s">
        <v>1005</v>
      </c>
      <c r="Q488" s="81" t="n">
        <v>653</v>
      </c>
      <c r="R488" s="90" t="s">
        <v>1005</v>
      </c>
      <c r="S488" s="81" t="n">
        <v>364</v>
      </c>
      <c r="T488" s="81" t="s">
        <v>1005</v>
      </c>
      <c r="U488" s="81" t="n">
        <v>411</v>
      </c>
      <c r="V488" s="81" t="s">
        <v>1005</v>
      </c>
      <c r="W488" s="81" t="n">
        <v>326</v>
      </c>
      <c r="X488" s="81" t="s">
        <v>1005</v>
      </c>
      <c r="Y488" s="81" t="n">
        <v>361</v>
      </c>
      <c r="Z488" s="81" t="s">
        <v>1005</v>
      </c>
      <c r="AA488" s="81" t="n">
        <v>160</v>
      </c>
      <c r="AB488" s="81" t="s">
        <v>1005</v>
      </c>
      <c r="AC488" s="81" t="n">
        <v>343</v>
      </c>
      <c r="AD488" s="81" t="s">
        <v>1005</v>
      </c>
      <c r="AE488" s="90" t="n">
        <v>343</v>
      </c>
      <c r="AF488" s="81" t="s">
        <v>1005</v>
      </c>
      <c r="AG488" s="81" t="n">
        <f aca="false">225+237</f>
        <v>462</v>
      </c>
      <c r="AH488" s="81" t="s">
        <v>1005</v>
      </c>
      <c r="AI488" s="81" t="n">
        <f aca="false">361+305</f>
        <v>666</v>
      </c>
      <c r="AJ488" s="81" t="s">
        <v>1005</v>
      </c>
      <c r="AK488" s="81" t="n">
        <f aca="false">298+224</f>
        <v>522</v>
      </c>
      <c r="AL488" s="81" t="s">
        <v>1005</v>
      </c>
      <c r="AM488" s="81" t="n">
        <f aca="false">O488+Q488+S488+U488+W488+Y488+AA488+AC488+AE488+AG488+AI488+AK488</f>
        <v>5229</v>
      </c>
    </row>
    <row collapsed="false" customFormat="false" customHeight="true" hidden="false" ht="16.2" outlineLevel="0" r="489">
      <c r="A489" s="80" t="n">
        <v>256</v>
      </c>
      <c r="B489" s="100" t="s">
        <v>402</v>
      </c>
      <c r="C489" s="82" t="s">
        <v>1033</v>
      </c>
      <c r="D489" s="92" t="s">
        <v>1056</v>
      </c>
      <c r="E489" s="83" t="s">
        <v>1035</v>
      </c>
      <c r="F489" s="49" t="s">
        <v>1036</v>
      </c>
      <c r="G489" s="92"/>
      <c r="H489" s="85"/>
      <c r="I489" s="85"/>
      <c r="J489" s="85"/>
      <c r="K489" s="93"/>
      <c r="L489" s="93"/>
      <c r="M489" s="81"/>
      <c r="N489" s="81"/>
      <c r="O489" s="90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  <c r="AE489" s="95"/>
      <c r="AF489" s="95"/>
      <c r="AG489" s="95"/>
      <c r="AH489" s="95"/>
      <c r="AI489" s="95"/>
      <c r="AJ489" s="95"/>
      <c r="AK489" s="95"/>
      <c r="AL489" s="95"/>
      <c r="AM489" s="81"/>
    </row>
    <row collapsed="false" customFormat="false" customHeight="true" hidden="false" ht="16.2" outlineLevel="0" r="490">
      <c r="A490" s="80"/>
      <c r="B490" s="101"/>
      <c r="C490" s="85"/>
      <c r="D490" s="92"/>
      <c r="E490" s="83" t="s">
        <v>1037</v>
      </c>
      <c r="F490" s="49" t="s">
        <v>1036</v>
      </c>
      <c r="G490" s="85" t="s">
        <v>1057</v>
      </c>
      <c r="H490" s="85" t="n">
        <v>8</v>
      </c>
      <c r="I490" s="85"/>
      <c r="J490" s="85"/>
      <c r="K490" s="93" t="s">
        <v>53</v>
      </c>
      <c r="L490" s="93" t="s">
        <v>53</v>
      </c>
      <c r="M490" s="81" t="n">
        <v>990</v>
      </c>
      <c r="N490" s="81" t="n">
        <v>788</v>
      </c>
      <c r="O490" s="90" t="n">
        <v>94</v>
      </c>
      <c r="P490" s="95" t="s">
        <v>1005</v>
      </c>
      <c r="Q490" s="81" t="n">
        <v>112</v>
      </c>
      <c r="R490" s="95" t="s">
        <v>1005</v>
      </c>
      <c r="S490" s="81" t="n">
        <v>34</v>
      </c>
      <c r="T490" s="95" t="s">
        <v>1005</v>
      </c>
      <c r="U490" s="81" t="n">
        <v>17</v>
      </c>
      <c r="V490" s="95" t="s">
        <v>1005</v>
      </c>
      <c r="W490" s="81" t="n">
        <v>9</v>
      </c>
      <c r="X490" s="95" t="s">
        <v>1005</v>
      </c>
      <c r="Y490" s="81" t="n">
        <v>12</v>
      </c>
      <c r="Z490" s="95" t="s">
        <v>1005</v>
      </c>
      <c r="AA490" s="81" t="n">
        <v>26</v>
      </c>
      <c r="AB490" s="95" t="s">
        <v>1005</v>
      </c>
      <c r="AC490" s="81" t="n">
        <v>8</v>
      </c>
      <c r="AD490" s="95" t="s">
        <v>1005</v>
      </c>
      <c r="AE490" s="81" t="n">
        <v>20</v>
      </c>
      <c r="AF490" s="95" t="s">
        <v>1005</v>
      </c>
      <c r="AG490" s="81" t="n">
        <v>68</v>
      </c>
      <c r="AH490" s="95" t="s">
        <v>1005</v>
      </c>
      <c r="AI490" s="81" t="n">
        <v>78</v>
      </c>
      <c r="AJ490" s="95" t="s">
        <v>1005</v>
      </c>
      <c r="AK490" s="81" t="n">
        <v>74</v>
      </c>
      <c r="AL490" s="95" t="s">
        <v>1005</v>
      </c>
      <c r="AM490" s="81" t="n">
        <f aca="false">O490+Q490+S490+U490+W490+Y490+AA490+AC490+AE490+AG490+AI490+AK490</f>
        <v>552</v>
      </c>
    </row>
    <row collapsed="false" customFormat="false" customHeight="true" hidden="false" ht="16.2" outlineLevel="0" r="491">
      <c r="A491" s="80" t="n">
        <v>257</v>
      </c>
      <c r="B491" s="100" t="s">
        <v>403</v>
      </c>
      <c r="C491" s="82" t="s">
        <v>1033</v>
      </c>
      <c r="D491" s="92" t="s">
        <v>1056</v>
      </c>
      <c r="E491" s="83" t="s">
        <v>1035</v>
      </c>
      <c r="F491" s="49" t="s">
        <v>1036</v>
      </c>
      <c r="G491" s="92"/>
      <c r="H491" s="85"/>
      <c r="I491" s="85"/>
      <c r="J491" s="85"/>
      <c r="K491" s="93"/>
      <c r="L491" s="93"/>
      <c r="M491" s="81"/>
      <c r="N491" s="81"/>
      <c r="O491" s="90"/>
      <c r="P491" s="95"/>
      <c r="Q491" s="81"/>
      <c r="R491" s="95"/>
      <c r="S491" s="81"/>
      <c r="T491" s="95"/>
      <c r="U491" s="81"/>
      <c r="V491" s="95"/>
      <c r="W491" s="81"/>
      <c r="X491" s="95"/>
      <c r="Y491" s="81"/>
      <c r="Z491" s="95"/>
      <c r="AA491" s="81"/>
      <c r="AB491" s="95"/>
      <c r="AC491" s="81"/>
      <c r="AD491" s="95"/>
      <c r="AE491" s="81"/>
      <c r="AF491" s="95"/>
      <c r="AG491" s="81"/>
      <c r="AH491" s="95"/>
      <c r="AI491" s="81"/>
      <c r="AJ491" s="95"/>
      <c r="AK491" s="81"/>
      <c r="AL491" s="95"/>
      <c r="AM491" s="81"/>
    </row>
    <row collapsed="false" customFormat="false" customHeight="true" hidden="false" ht="16.2" outlineLevel="0" r="492">
      <c r="A492" s="80"/>
      <c r="B492" s="101"/>
      <c r="C492" s="85"/>
      <c r="D492" s="92"/>
      <c r="E492" s="83" t="s">
        <v>1037</v>
      </c>
      <c r="F492" s="49" t="s">
        <v>1036</v>
      </c>
      <c r="G492" s="85" t="s">
        <v>1057</v>
      </c>
      <c r="H492" s="85" t="n">
        <v>16</v>
      </c>
      <c r="I492" s="85"/>
      <c r="J492" s="85"/>
      <c r="K492" s="93" t="s">
        <v>53</v>
      </c>
      <c r="L492" s="93" t="s">
        <v>53</v>
      </c>
      <c r="M492" s="81" t="n">
        <v>1995</v>
      </c>
      <c r="N492" s="81" t="n">
        <v>892</v>
      </c>
      <c r="O492" s="90" t="n">
        <v>104</v>
      </c>
      <c r="P492" s="95" t="s">
        <v>1005</v>
      </c>
      <c r="Q492" s="81" t="n">
        <v>99</v>
      </c>
      <c r="R492" s="95" t="s">
        <v>1005</v>
      </c>
      <c r="S492" s="81" t="n">
        <v>52</v>
      </c>
      <c r="T492" s="95" t="s">
        <v>1005</v>
      </c>
      <c r="U492" s="81" t="n">
        <v>57</v>
      </c>
      <c r="V492" s="95" t="s">
        <v>1005</v>
      </c>
      <c r="W492" s="81" t="n">
        <v>58</v>
      </c>
      <c r="X492" s="95" t="s">
        <v>1005</v>
      </c>
      <c r="Y492" s="81" t="n">
        <v>36</v>
      </c>
      <c r="Z492" s="95" t="s">
        <v>1005</v>
      </c>
      <c r="AA492" s="81" t="n">
        <v>29</v>
      </c>
      <c r="AB492" s="95" t="s">
        <v>1005</v>
      </c>
      <c r="AC492" s="81" t="n">
        <v>40</v>
      </c>
      <c r="AD492" s="95" t="s">
        <v>1005</v>
      </c>
      <c r="AE492" s="81" t="n">
        <v>61</v>
      </c>
      <c r="AF492" s="95" t="s">
        <v>1005</v>
      </c>
      <c r="AG492" s="81" t="n">
        <v>84</v>
      </c>
      <c r="AH492" s="95" t="s">
        <v>1005</v>
      </c>
      <c r="AI492" s="81" t="n">
        <v>133</v>
      </c>
      <c r="AJ492" s="95" t="s">
        <v>1005</v>
      </c>
      <c r="AK492" s="81" t="n">
        <v>128</v>
      </c>
      <c r="AL492" s="95" t="s">
        <v>1005</v>
      </c>
      <c r="AM492" s="81" t="n">
        <f aca="false">O492+Q492+S492+U492+W492+Y492+AA492+AC492+AE492+AG492+AI492+AK492</f>
        <v>881</v>
      </c>
    </row>
    <row collapsed="false" customFormat="false" customHeight="true" hidden="false" ht="16.2" outlineLevel="0" r="493">
      <c r="A493" s="80" t="n">
        <v>258</v>
      </c>
      <c r="B493" s="100" t="s">
        <v>404</v>
      </c>
      <c r="C493" s="82" t="s">
        <v>1033</v>
      </c>
      <c r="D493" s="92" t="s">
        <v>1056</v>
      </c>
      <c r="E493" s="83" t="s">
        <v>1035</v>
      </c>
      <c r="F493" s="49" t="s">
        <v>1036</v>
      </c>
      <c r="G493" s="92"/>
      <c r="H493" s="85"/>
      <c r="I493" s="85"/>
      <c r="J493" s="85"/>
      <c r="K493" s="93"/>
      <c r="L493" s="93"/>
      <c r="M493" s="81"/>
      <c r="N493" s="81"/>
      <c r="O493" s="90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  <c r="AE493" s="95"/>
      <c r="AF493" s="95"/>
      <c r="AG493" s="95"/>
      <c r="AH493" s="95"/>
      <c r="AI493" s="95"/>
      <c r="AJ493" s="95"/>
      <c r="AK493" s="95"/>
      <c r="AL493" s="95"/>
      <c r="AM493" s="81"/>
    </row>
    <row collapsed="false" customFormat="false" customHeight="true" hidden="false" ht="16.2" outlineLevel="0" r="494">
      <c r="A494" s="80"/>
      <c r="B494" s="101"/>
      <c r="C494" s="85"/>
      <c r="D494" s="92"/>
      <c r="E494" s="83" t="s">
        <v>1037</v>
      </c>
      <c r="F494" s="49" t="s">
        <v>1036</v>
      </c>
      <c r="G494" s="85" t="s">
        <v>1057</v>
      </c>
      <c r="H494" s="85" t="n">
        <v>20</v>
      </c>
      <c r="I494" s="85"/>
      <c r="J494" s="85"/>
      <c r="K494" s="93" t="s">
        <v>53</v>
      </c>
      <c r="L494" s="93" t="s">
        <v>53</v>
      </c>
      <c r="M494" s="81" t="n">
        <v>5317</v>
      </c>
      <c r="N494" s="81" t="n">
        <v>5807</v>
      </c>
      <c r="O494" s="90" t="n">
        <v>663</v>
      </c>
      <c r="P494" s="95" t="s">
        <v>1005</v>
      </c>
      <c r="Q494" s="81" t="n">
        <v>661</v>
      </c>
      <c r="R494" s="95" t="s">
        <v>1005</v>
      </c>
      <c r="S494" s="81" t="n">
        <v>459</v>
      </c>
      <c r="T494" s="95" t="s">
        <v>1005</v>
      </c>
      <c r="U494" s="81" t="n">
        <v>510</v>
      </c>
      <c r="V494" s="95" t="s">
        <v>1005</v>
      </c>
      <c r="W494" s="81" t="n">
        <v>372</v>
      </c>
      <c r="X494" s="95" t="s">
        <v>1005</v>
      </c>
      <c r="Y494" s="81" t="n">
        <v>409</v>
      </c>
      <c r="Z494" s="95" t="s">
        <v>1005</v>
      </c>
      <c r="AA494" s="81" t="n">
        <v>310</v>
      </c>
      <c r="AB494" s="95" t="s">
        <v>1005</v>
      </c>
      <c r="AC494" s="81" t="n">
        <v>274</v>
      </c>
      <c r="AD494" s="95" t="s">
        <v>1005</v>
      </c>
      <c r="AE494" s="81" t="n">
        <v>457</v>
      </c>
      <c r="AF494" s="95" t="s">
        <v>1005</v>
      </c>
      <c r="AG494" s="81" t="n">
        <v>498</v>
      </c>
      <c r="AH494" s="95" t="s">
        <v>1005</v>
      </c>
      <c r="AI494" s="81" t="n">
        <v>606</v>
      </c>
      <c r="AJ494" s="95" t="s">
        <v>1005</v>
      </c>
      <c r="AK494" s="81" t="n">
        <v>598</v>
      </c>
      <c r="AL494" s="95" t="s">
        <v>1005</v>
      </c>
      <c r="AM494" s="81" t="n">
        <f aca="false">O494+Q494+S494+U494+W494+Y494+AA494+AC494+AE494+AG494+AI494+AK494</f>
        <v>5817</v>
      </c>
    </row>
    <row collapsed="false" customFormat="false" customHeight="true" hidden="false" ht="16.2" outlineLevel="0" r="495">
      <c r="A495" s="80" t="n">
        <v>259</v>
      </c>
      <c r="B495" s="100" t="s">
        <v>405</v>
      </c>
      <c r="C495" s="82" t="s">
        <v>1033</v>
      </c>
      <c r="D495" s="92" t="s">
        <v>1056</v>
      </c>
      <c r="E495" s="83" t="s">
        <v>1035</v>
      </c>
      <c r="F495" s="49" t="s">
        <v>1036</v>
      </c>
      <c r="G495" s="92"/>
      <c r="H495" s="85"/>
      <c r="I495" s="85"/>
      <c r="J495" s="85"/>
      <c r="K495" s="93"/>
      <c r="L495" s="93"/>
      <c r="M495" s="81"/>
      <c r="N495" s="81"/>
      <c r="O495" s="90"/>
      <c r="P495" s="95"/>
      <c r="Q495" s="81"/>
      <c r="R495" s="95"/>
      <c r="S495" s="81"/>
      <c r="T495" s="95"/>
      <c r="U495" s="81"/>
      <c r="V495" s="95"/>
      <c r="W495" s="81"/>
      <c r="X495" s="95"/>
      <c r="Y495" s="81"/>
      <c r="Z495" s="95"/>
      <c r="AA495" s="81"/>
      <c r="AB495" s="95"/>
      <c r="AC495" s="81"/>
      <c r="AD495" s="95"/>
      <c r="AE495" s="81"/>
      <c r="AF495" s="95"/>
      <c r="AG495" s="81"/>
      <c r="AH495" s="95"/>
      <c r="AI495" s="81"/>
      <c r="AJ495" s="95"/>
      <c r="AK495" s="81"/>
      <c r="AL495" s="95"/>
      <c r="AM495" s="81"/>
    </row>
    <row collapsed="false" customFormat="false" customHeight="true" hidden="false" ht="16.2" outlineLevel="0" r="496">
      <c r="A496" s="80"/>
      <c r="B496" s="101"/>
      <c r="C496" s="85"/>
      <c r="D496" s="92"/>
      <c r="E496" s="83" t="s">
        <v>1037</v>
      </c>
      <c r="F496" s="49" t="s">
        <v>1036</v>
      </c>
      <c r="G496" s="85" t="s">
        <v>1057</v>
      </c>
      <c r="H496" s="85" t="n">
        <v>10</v>
      </c>
      <c r="I496" s="85"/>
      <c r="J496" s="85"/>
      <c r="K496" s="93" t="s">
        <v>53</v>
      </c>
      <c r="L496" s="93" t="s">
        <v>53</v>
      </c>
      <c r="M496" s="81" t="n">
        <v>4042</v>
      </c>
      <c r="N496" s="81" t="n">
        <v>2765</v>
      </c>
      <c r="O496" s="90" t="n">
        <v>312</v>
      </c>
      <c r="P496" s="95" t="s">
        <v>1005</v>
      </c>
      <c r="Q496" s="81" t="n">
        <v>335</v>
      </c>
      <c r="R496" s="95" t="s">
        <v>1005</v>
      </c>
      <c r="S496" s="81" t="n">
        <v>142</v>
      </c>
      <c r="T496" s="95" t="s">
        <v>1005</v>
      </c>
      <c r="U496" s="81" t="n">
        <v>179</v>
      </c>
      <c r="V496" s="95" t="s">
        <v>1005</v>
      </c>
      <c r="W496" s="81" t="n">
        <v>191</v>
      </c>
      <c r="X496" s="95" t="s">
        <v>1005</v>
      </c>
      <c r="Y496" s="81" t="n">
        <v>128</v>
      </c>
      <c r="Z496" s="95" t="s">
        <v>1005</v>
      </c>
      <c r="AA496" s="81" t="n">
        <v>130</v>
      </c>
      <c r="AB496" s="95" t="s">
        <v>1005</v>
      </c>
      <c r="AC496" s="81" t="n">
        <v>157</v>
      </c>
      <c r="AD496" s="95" t="s">
        <v>1005</v>
      </c>
      <c r="AE496" s="81" t="n">
        <v>214</v>
      </c>
      <c r="AF496" s="95" t="s">
        <v>1005</v>
      </c>
      <c r="AG496" s="81" t="n">
        <v>200</v>
      </c>
      <c r="AH496" s="95" t="s">
        <v>1005</v>
      </c>
      <c r="AI496" s="81" t="n">
        <v>277</v>
      </c>
      <c r="AJ496" s="95" t="s">
        <v>1005</v>
      </c>
      <c r="AK496" s="81" t="n">
        <v>271</v>
      </c>
      <c r="AL496" s="95" t="s">
        <v>1005</v>
      </c>
      <c r="AM496" s="81" t="n">
        <f aca="false">O496+Q496+S496+U496+W496+Y496+AA496+AC496+AE496+AG496+AI496+AK496</f>
        <v>2536</v>
      </c>
    </row>
    <row collapsed="false" customFormat="false" customHeight="true" hidden="false" ht="16.2" outlineLevel="0" r="497">
      <c r="A497" s="80" t="n">
        <v>260</v>
      </c>
      <c r="B497" s="100" t="s">
        <v>406</v>
      </c>
      <c r="C497" s="82" t="s">
        <v>1033</v>
      </c>
      <c r="D497" s="92" t="s">
        <v>1056</v>
      </c>
      <c r="E497" s="83" t="s">
        <v>1035</v>
      </c>
      <c r="F497" s="49" t="s">
        <v>1036</v>
      </c>
      <c r="G497" s="92"/>
      <c r="H497" s="85"/>
      <c r="I497" s="85"/>
      <c r="J497" s="85"/>
      <c r="K497" s="93"/>
      <c r="L497" s="93"/>
      <c r="M497" s="81"/>
      <c r="N497" s="81"/>
      <c r="O497" s="90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  <c r="AE497" s="95"/>
      <c r="AF497" s="95"/>
      <c r="AG497" s="95"/>
      <c r="AH497" s="95"/>
      <c r="AI497" s="95"/>
      <c r="AJ497" s="95"/>
      <c r="AK497" s="95"/>
      <c r="AL497" s="95"/>
      <c r="AM497" s="81"/>
    </row>
    <row collapsed="false" customFormat="false" customHeight="true" hidden="false" ht="16.2" outlineLevel="0" r="498">
      <c r="A498" s="80"/>
      <c r="B498" s="101"/>
      <c r="C498" s="85"/>
      <c r="D498" s="92"/>
      <c r="E498" s="83" t="s">
        <v>1037</v>
      </c>
      <c r="F498" s="49" t="s">
        <v>1036</v>
      </c>
      <c r="G498" s="85" t="s">
        <v>1057</v>
      </c>
      <c r="H498" s="85" t="n">
        <v>21</v>
      </c>
      <c r="I498" s="85" t="s">
        <v>1046</v>
      </c>
      <c r="J498" s="85" t="n">
        <v>2</v>
      </c>
      <c r="K498" s="93" t="s">
        <v>53</v>
      </c>
      <c r="L498" s="93" t="s">
        <v>53</v>
      </c>
      <c r="M498" s="81" t="n">
        <v>8446</v>
      </c>
      <c r="N498" s="81" t="n">
        <v>9219</v>
      </c>
      <c r="O498" s="90" t="n">
        <v>1550</v>
      </c>
      <c r="P498" s="95" t="s">
        <v>1005</v>
      </c>
      <c r="Q498" s="81" t="n">
        <v>1364</v>
      </c>
      <c r="R498" s="95" t="s">
        <v>1005</v>
      </c>
      <c r="S498" s="81" t="n">
        <v>874</v>
      </c>
      <c r="T498" s="95" t="s">
        <v>1005</v>
      </c>
      <c r="U498" s="81" t="n">
        <v>1103</v>
      </c>
      <c r="V498" s="95" t="s">
        <v>1005</v>
      </c>
      <c r="W498" s="81" t="n">
        <v>970</v>
      </c>
      <c r="X498" s="95" t="s">
        <v>1005</v>
      </c>
      <c r="Y498" s="81" t="n">
        <v>1113</v>
      </c>
      <c r="Z498" s="95" t="s">
        <v>1005</v>
      </c>
      <c r="AA498" s="81" t="n">
        <v>1050</v>
      </c>
      <c r="AB498" s="95" t="s">
        <v>1005</v>
      </c>
      <c r="AC498" s="81" t="n">
        <v>964</v>
      </c>
      <c r="AD498" s="95" t="s">
        <v>1005</v>
      </c>
      <c r="AE498" s="81" t="n">
        <v>1089</v>
      </c>
      <c r="AF498" s="95" t="s">
        <v>1005</v>
      </c>
      <c r="AG498" s="81" t="n">
        <v>1099</v>
      </c>
      <c r="AH498" s="95" t="s">
        <v>1005</v>
      </c>
      <c r="AI498" s="81" t="n">
        <v>1455</v>
      </c>
      <c r="AJ498" s="95" t="s">
        <v>1005</v>
      </c>
      <c r="AK498" s="81" t="n">
        <v>1450</v>
      </c>
      <c r="AL498" s="95" t="s">
        <v>1005</v>
      </c>
      <c r="AM498" s="81" t="n">
        <f aca="false">O498+Q498+S498+U498+W498+Y498+AA498+AC498+AE498+AG498+AI498+AK498</f>
        <v>14081</v>
      </c>
    </row>
    <row collapsed="false" customFormat="false" customHeight="true" hidden="false" ht="16.2" outlineLevel="0" r="499">
      <c r="A499" s="80" t="n">
        <v>261</v>
      </c>
      <c r="B499" s="81"/>
      <c r="C499" s="82" t="s">
        <v>1033</v>
      </c>
      <c r="D499" s="85"/>
      <c r="E499" s="83" t="s">
        <v>1035</v>
      </c>
      <c r="F499" s="49" t="s">
        <v>1036</v>
      </c>
      <c r="G499" s="85"/>
      <c r="H499" s="85"/>
      <c r="I499" s="85"/>
      <c r="J499" s="85"/>
      <c r="K499" s="85"/>
      <c r="L499" s="85"/>
      <c r="M499" s="81"/>
      <c r="N499" s="81"/>
      <c r="O499" s="96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</row>
    <row collapsed="false" customFormat="false" customHeight="true" hidden="false" ht="16.2" outlineLevel="0" r="500">
      <c r="A500" s="80"/>
      <c r="B500" s="81" t="s">
        <v>409</v>
      </c>
      <c r="C500" s="85"/>
      <c r="D500" s="85" t="s">
        <v>1054</v>
      </c>
      <c r="E500" s="83" t="s">
        <v>1037</v>
      </c>
      <c r="F500" s="49" t="s">
        <v>1036</v>
      </c>
      <c r="G500" s="85" t="s">
        <v>1042</v>
      </c>
      <c r="H500" s="85" t="n">
        <v>8</v>
      </c>
      <c r="I500" s="85" t="s">
        <v>1039</v>
      </c>
      <c r="J500" s="85" t="n">
        <v>4</v>
      </c>
      <c r="K500" s="85" t="s">
        <v>1041</v>
      </c>
      <c r="L500" s="85" t="s">
        <v>1041</v>
      </c>
      <c r="M500" s="81" t="n">
        <v>3450</v>
      </c>
      <c r="N500" s="81"/>
      <c r="O500" s="96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  <c r="AK500" s="81"/>
      <c r="AL500" s="81"/>
      <c r="AM500" s="81"/>
    </row>
    <row collapsed="false" customFormat="false" customHeight="true" hidden="false" ht="16.2" outlineLevel="0" r="501">
      <c r="A501" s="80" t="n">
        <v>262</v>
      </c>
      <c r="B501" s="81"/>
      <c r="C501" s="82" t="s">
        <v>1033</v>
      </c>
      <c r="D501" s="85"/>
      <c r="E501" s="83" t="s">
        <v>1035</v>
      </c>
      <c r="F501" s="49" t="s">
        <v>1036</v>
      </c>
      <c r="G501" s="85"/>
      <c r="H501" s="85"/>
      <c r="I501" s="85"/>
      <c r="J501" s="85"/>
      <c r="K501" s="85"/>
      <c r="L501" s="85"/>
      <c r="M501" s="81"/>
      <c r="N501" s="81"/>
      <c r="O501" s="96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</row>
    <row collapsed="false" customFormat="false" customHeight="true" hidden="false" ht="16.2" outlineLevel="0" r="502">
      <c r="A502" s="80"/>
      <c r="B502" s="81" t="s">
        <v>411</v>
      </c>
      <c r="C502" s="85"/>
      <c r="D502" s="85" t="s">
        <v>1054</v>
      </c>
      <c r="E502" s="83" t="s">
        <v>1037</v>
      </c>
      <c r="F502" s="49" t="s">
        <v>1036</v>
      </c>
      <c r="G502" s="85" t="s">
        <v>1039</v>
      </c>
      <c r="H502" s="85" t="n">
        <v>6</v>
      </c>
      <c r="I502" s="85" t="s">
        <v>1039</v>
      </c>
      <c r="J502" s="85" t="n">
        <v>1</v>
      </c>
      <c r="K502" s="85" t="s">
        <v>1041</v>
      </c>
      <c r="L502" s="85" t="s">
        <v>1041</v>
      </c>
      <c r="M502" s="81" t="n">
        <v>618</v>
      </c>
      <c r="N502" s="81"/>
      <c r="O502" s="96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  <c r="AC502" s="81"/>
      <c r="AD502" s="81"/>
      <c r="AE502" s="81"/>
      <c r="AF502" s="81"/>
      <c r="AG502" s="81"/>
      <c r="AH502" s="81"/>
      <c r="AI502" s="81"/>
      <c r="AJ502" s="81"/>
      <c r="AK502" s="81"/>
      <c r="AL502" s="81"/>
      <c r="AM502" s="81"/>
    </row>
    <row collapsed="false" customFormat="false" customHeight="true" hidden="false" ht="16.2" outlineLevel="0" r="503">
      <c r="A503" s="80" t="n">
        <v>263</v>
      </c>
      <c r="B503" s="81"/>
      <c r="C503" s="82" t="s">
        <v>1033</v>
      </c>
      <c r="D503" s="85"/>
      <c r="E503" s="83" t="s">
        <v>1035</v>
      </c>
      <c r="F503" s="49" t="s">
        <v>1036</v>
      </c>
      <c r="G503" s="85"/>
      <c r="H503" s="85"/>
      <c r="I503" s="85"/>
      <c r="J503" s="85"/>
      <c r="K503" s="85"/>
      <c r="L503" s="85"/>
      <c r="M503" s="81"/>
      <c r="N503" s="81"/>
      <c r="O503" s="96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</row>
    <row collapsed="false" customFormat="false" customHeight="true" hidden="false" ht="16.2" outlineLevel="0" r="504">
      <c r="A504" s="80"/>
      <c r="B504" s="81" t="s">
        <v>412</v>
      </c>
      <c r="C504" s="85"/>
      <c r="D504" s="85" t="s">
        <v>1054</v>
      </c>
      <c r="E504" s="83" t="s">
        <v>1037</v>
      </c>
      <c r="F504" s="49" t="s">
        <v>1036</v>
      </c>
      <c r="G504" s="85" t="s">
        <v>1039</v>
      </c>
      <c r="H504" s="85" t="n">
        <v>15</v>
      </c>
      <c r="I504" s="85" t="s">
        <v>1050</v>
      </c>
      <c r="J504" s="85" t="n">
        <v>3</v>
      </c>
      <c r="K504" s="85" t="s">
        <v>1041</v>
      </c>
      <c r="L504" s="85" t="s">
        <v>1041</v>
      </c>
      <c r="M504" s="81" t="n">
        <v>1968</v>
      </c>
      <c r="N504" s="81"/>
      <c r="O504" s="96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  <c r="AC504" s="81"/>
      <c r="AD504" s="81"/>
      <c r="AE504" s="81"/>
      <c r="AF504" s="81"/>
      <c r="AG504" s="81"/>
      <c r="AH504" s="81"/>
      <c r="AI504" s="81"/>
      <c r="AJ504" s="81"/>
      <c r="AK504" s="81"/>
      <c r="AL504" s="81"/>
      <c r="AM504" s="81"/>
    </row>
    <row collapsed="false" customFormat="false" customHeight="true" hidden="false" ht="16.2" outlineLevel="0" r="505">
      <c r="A505" s="80" t="n">
        <v>264</v>
      </c>
      <c r="B505" s="81"/>
      <c r="C505" s="82" t="s">
        <v>1033</v>
      </c>
      <c r="D505" s="85"/>
      <c r="E505" s="83" t="s">
        <v>1035</v>
      </c>
      <c r="F505" s="49" t="s">
        <v>1036</v>
      </c>
      <c r="G505" s="85"/>
      <c r="H505" s="85"/>
      <c r="I505" s="85"/>
      <c r="J505" s="85"/>
      <c r="K505" s="85"/>
      <c r="L505" s="85"/>
      <c r="M505" s="81"/>
      <c r="N505" s="81"/>
      <c r="O505" s="96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</row>
    <row collapsed="false" customFormat="false" customHeight="true" hidden="false" ht="16.2" outlineLevel="0" r="506">
      <c r="A506" s="80"/>
      <c r="B506" s="81" t="s">
        <v>413</v>
      </c>
      <c r="C506" s="85"/>
      <c r="D506" s="85" t="s">
        <v>1054</v>
      </c>
      <c r="E506" s="83" t="s">
        <v>1037</v>
      </c>
      <c r="F506" s="49" t="s">
        <v>1036</v>
      </c>
      <c r="G506" s="85" t="s">
        <v>1039</v>
      </c>
      <c r="H506" s="85" t="n">
        <v>15</v>
      </c>
      <c r="I506" s="85" t="s">
        <v>1050</v>
      </c>
      <c r="J506" s="85" t="n">
        <v>3</v>
      </c>
      <c r="K506" s="85" t="s">
        <v>1041</v>
      </c>
      <c r="L506" s="85" t="s">
        <v>1041</v>
      </c>
      <c r="M506" s="81" t="n">
        <v>3006</v>
      </c>
      <c r="N506" s="81"/>
      <c r="O506" s="96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  <c r="AC506" s="81"/>
      <c r="AD506" s="81"/>
      <c r="AE506" s="81"/>
      <c r="AF506" s="81"/>
      <c r="AG506" s="81"/>
      <c r="AH506" s="81"/>
      <c r="AI506" s="81"/>
      <c r="AJ506" s="81"/>
      <c r="AK506" s="81"/>
      <c r="AL506" s="81"/>
      <c r="AM506" s="81"/>
    </row>
    <row collapsed="false" customFormat="false" customHeight="true" hidden="false" ht="16.2" outlineLevel="0" r="507">
      <c r="A507" s="80" t="n">
        <v>265</v>
      </c>
      <c r="B507" s="81"/>
      <c r="C507" s="82" t="s">
        <v>1033</v>
      </c>
      <c r="D507" s="85"/>
      <c r="E507" s="83" t="s">
        <v>1035</v>
      </c>
      <c r="F507" s="49" t="s">
        <v>1036</v>
      </c>
      <c r="G507" s="85"/>
      <c r="H507" s="85"/>
      <c r="I507" s="85"/>
      <c r="J507" s="85"/>
      <c r="K507" s="85"/>
      <c r="L507" s="85"/>
      <c r="M507" s="81"/>
      <c r="N507" s="81"/>
      <c r="O507" s="96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</row>
    <row collapsed="false" customFormat="false" customHeight="true" hidden="false" ht="16.2" outlineLevel="0" r="508">
      <c r="A508" s="80"/>
      <c r="B508" s="81" t="s">
        <v>414</v>
      </c>
      <c r="C508" s="85"/>
      <c r="D508" s="85" t="s">
        <v>1054</v>
      </c>
      <c r="E508" s="83" t="s">
        <v>1037</v>
      </c>
      <c r="F508" s="49" t="s">
        <v>1036</v>
      </c>
      <c r="G508" s="85" t="s">
        <v>1039</v>
      </c>
      <c r="H508" s="85" t="n">
        <v>15</v>
      </c>
      <c r="I508" s="85" t="s">
        <v>1050</v>
      </c>
      <c r="J508" s="85" t="n">
        <v>1</v>
      </c>
      <c r="K508" s="85" t="s">
        <v>1041</v>
      </c>
      <c r="L508" s="85" t="s">
        <v>1041</v>
      </c>
      <c r="M508" s="81" t="n">
        <v>3186</v>
      </c>
      <c r="N508" s="81"/>
      <c r="O508" s="96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</row>
    <row collapsed="false" customFormat="false" customHeight="true" hidden="false" ht="16.2" outlineLevel="0" r="509">
      <c r="A509" s="80" t="n">
        <v>266</v>
      </c>
      <c r="B509" s="81" t="s">
        <v>416</v>
      </c>
      <c r="C509" s="82" t="s">
        <v>1033</v>
      </c>
      <c r="D509" s="82" t="s">
        <v>1034</v>
      </c>
      <c r="E509" s="83" t="s">
        <v>1035</v>
      </c>
      <c r="F509" s="84" t="s">
        <v>1036</v>
      </c>
      <c r="G509" s="85"/>
      <c r="H509" s="85"/>
      <c r="I509" s="85"/>
      <c r="J509" s="85"/>
      <c r="K509" s="86" t="s">
        <v>53</v>
      </c>
      <c r="L509" s="86" t="s">
        <v>53</v>
      </c>
      <c r="M509" s="90"/>
      <c r="N509" s="90"/>
      <c r="O509" s="90"/>
      <c r="P509" s="90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  <c r="AD509" s="81"/>
      <c r="AE509" s="90"/>
      <c r="AF509" s="81"/>
      <c r="AG509" s="81"/>
      <c r="AH509" s="81"/>
      <c r="AI509" s="81"/>
      <c r="AJ509" s="81"/>
      <c r="AK509" s="81"/>
      <c r="AL509" s="81"/>
      <c r="AM509" s="81" t="n">
        <f aca="false">O509+Q509+S509+U509+W509+Y509+AA509+AC509+AE509+AG509+AI509+AK509</f>
        <v>0</v>
      </c>
    </row>
    <row collapsed="false" customFormat="false" customHeight="true" hidden="false" ht="16.2" outlineLevel="0" r="510">
      <c r="A510" s="80"/>
      <c r="B510" s="89"/>
      <c r="C510" s="85"/>
      <c r="D510" s="85"/>
      <c r="E510" s="83" t="s">
        <v>1037</v>
      </c>
      <c r="F510" s="84" t="s">
        <v>1036</v>
      </c>
      <c r="G510" s="85"/>
      <c r="H510" s="85"/>
      <c r="I510" s="85"/>
      <c r="J510" s="85"/>
      <c r="K510" s="86"/>
      <c r="L510" s="86"/>
      <c r="M510" s="90" t="n">
        <f aca="false">2103+2812</f>
        <v>4915</v>
      </c>
      <c r="N510" s="90" t="n">
        <f aca="false">743+713</f>
        <v>1456</v>
      </c>
      <c r="O510" s="90" t="n">
        <v>539</v>
      </c>
      <c r="P510" s="90" t="s">
        <v>1005</v>
      </c>
      <c r="Q510" s="81" t="n">
        <v>137</v>
      </c>
      <c r="R510" s="90" t="s">
        <v>1005</v>
      </c>
      <c r="S510" s="81" t="n">
        <v>114</v>
      </c>
      <c r="T510" s="81" t="s">
        <v>1005</v>
      </c>
      <c r="U510" s="81" t="n">
        <v>44</v>
      </c>
      <c r="V510" s="81" t="s">
        <v>1061</v>
      </c>
      <c r="W510" s="81" t="n">
        <v>44</v>
      </c>
      <c r="X510" s="81" t="s">
        <v>1005</v>
      </c>
      <c r="Y510" s="99"/>
      <c r="Z510" s="99"/>
      <c r="AA510" s="99"/>
      <c r="AB510" s="99" t="s">
        <v>1055</v>
      </c>
      <c r="AC510" s="99"/>
      <c r="AD510" s="99"/>
      <c r="AE510" s="104"/>
      <c r="AF510" s="99"/>
      <c r="AG510" s="99"/>
      <c r="AH510" s="99"/>
      <c r="AI510" s="99"/>
      <c r="AJ510" s="99"/>
      <c r="AK510" s="99"/>
      <c r="AL510" s="99"/>
      <c r="AM510" s="81" t="n">
        <f aca="false">O510+Q510+S510+U510+W510+Y510+AA510+AC510+AE510+AG510+AI510+AK510</f>
        <v>878</v>
      </c>
    </row>
    <row collapsed="false" customFormat="false" customHeight="true" hidden="false" ht="16.2" outlineLevel="0" r="511">
      <c r="A511" s="80" t="n">
        <v>267</v>
      </c>
      <c r="B511" s="81"/>
      <c r="C511" s="82" t="s">
        <v>1033</v>
      </c>
      <c r="D511" s="85"/>
      <c r="E511" s="83" t="s">
        <v>1035</v>
      </c>
      <c r="F511" s="49" t="s">
        <v>1036</v>
      </c>
      <c r="G511" s="85"/>
      <c r="H511" s="85"/>
      <c r="I511" s="85"/>
      <c r="J511" s="85"/>
      <c r="K511" s="85"/>
      <c r="L511" s="85"/>
      <c r="M511" s="81"/>
      <c r="N511" s="81"/>
      <c r="O511" s="96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  <c r="AI511" s="81"/>
      <c r="AJ511" s="81"/>
      <c r="AK511" s="81"/>
      <c r="AL511" s="81"/>
      <c r="AM511" s="81"/>
    </row>
    <row collapsed="false" customFormat="false" customHeight="true" hidden="false" ht="16.2" outlineLevel="0" r="512">
      <c r="A512" s="80"/>
      <c r="B512" s="81" t="s">
        <v>417</v>
      </c>
      <c r="C512" s="85"/>
      <c r="D512" s="85" t="s">
        <v>1054</v>
      </c>
      <c r="E512" s="83" t="s">
        <v>1037</v>
      </c>
      <c r="F512" s="49" t="s">
        <v>1036</v>
      </c>
      <c r="G512" s="85" t="s">
        <v>1039</v>
      </c>
      <c r="H512" s="85" t="n">
        <v>15</v>
      </c>
      <c r="I512" s="85" t="s">
        <v>1050</v>
      </c>
      <c r="J512" s="85" t="n">
        <v>3</v>
      </c>
      <c r="K512" s="85" t="s">
        <v>1041</v>
      </c>
      <c r="L512" s="85" t="s">
        <v>1041</v>
      </c>
      <c r="M512" s="81" t="n">
        <v>1950</v>
      </c>
      <c r="N512" s="81"/>
      <c r="O512" s="96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</row>
    <row collapsed="false" customFormat="false" customHeight="true" hidden="false" ht="16.2" outlineLevel="0" r="513">
      <c r="A513" s="80" t="n">
        <v>268</v>
      </c>
      <c r="B513" s="81" t="s">
        <v>418</v>
      </c>
      <c r="C513" s="82" t="s">
        <v>1033</v>
      </c>
      <c r="D513" s="82" t="s">
        <v>1034</v>
      </c>
      <c r="E513" s="83" t="s">
        <v>1035</v>
      </c>
      <c r="F513" s="84" t="s">
        <v>1036</v>
      </c>
      <c r="G513" s="85"/>
      <c r="H513" s="85"/>
      <c r="I513" s="85"/>
      <c r="J513" s="85"/>
      <c r="K513" s="86" t="s">
        <v>53</v>
      </c>
      <c r="L513" s="86" t="s">
        <v>53</v>
      </c>
      <c r="M513" s="90"/>
      <c r="N513" s="90"/>
      <c r="O513" s="90"/>
      <c r="P513" s="90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1"/>
      <c r="AE513" s="90"/>
      <c r="AF513" s="81"/>
      <c r="AG513" s="81"/>
      <c r="AH513" s="81"/>
      <c r="AI513" s="81"/>
      <c r="AJ513" s="81"/>
      <c r="AK513" s="81"/>
      <c r="AL513" s="81"/>
      <c r="AM513" s="81" t="n">
        <f aca="false">O513+Q513+S513+U513+W513+Y513+AA513+AC513+AE513+AG513+AI513+AK513</f>
        <v>0</v>
      </c>
    </row>
    <row collapsed="false" customFormat="false" customHeight="true" hidden="false" ht="16.2" outlineLevel="0" r="514">
      <c r="A514" s="80"/>
      <c r="B514" s="89"/>
      <c r="C514" s="85"/>
      <c r="D514" s="85"/>
      <c r="E514" s="83" t="s">
        <v>1037</v>
      </c>
      <c r="F514" s="84" t="s">
        <v>1036</v>
      </c>
      <c r="G514" s="85"/>
      <c r="H514" s="85"/>
      <c r="I514" s="85"/>
      <c r="J514" s="85"/>
      <c r="K514" s="86"/>
      <c r="L514" s="86"/>
      <c r="M514" s="90" t="n">
        <f aca="false">4944+6954</f>
        <v>11898</v>
      </c>
      <c r="N514" s="91" t="n">
        <f aca="false">3284+4441</f>
        <v>7725</v>
      </c>
      <c r="O514" s="90" t="n">
        <f aca="false">733+988</f>
        <v>1721</v>
      </c>
      <c r="P514" s="90" t="s">
        <v>1061</v>
      </c>
      <c r="Q514" s="81" t="n">
        <v>1925</v>
      </c>
      <c r="R514" s="81" t="s">
        <v>1061</v>
      </c>
      <c r="S514" s="81" t="n">
        <v>1511</v>
      </c>
      <c r="T514" s="81" t="s">
        <v>1061</v>
      </c>
      <c r="U514" s="81" t="n">
        <v>1511</v>
      </c>
      <c r="V514" s="81" t="s">
        <v>1005</v>
      </c>
      <c r="W514" s="81" t="n">
        <v>1413</v>
      </c>
      <c r="X514" s="81" t="s">
        <v>1005</v>
      </c>
      <c r="Y514" s="81" t="n">
        <v>238</v>
      </c>
      <c r="Z514" s="81" t="s">
        <v>1005</v>
      </c>
      <c r="AA514" s="81" t="n">
        <v>704</v>
      </c>
      <c r="AB514" s="81" t="s">
        <v>1005</v>
      </c>
      <c r="AC514" s="81" t="n">
        <v>1082</v>
      </c>
      <c r="AD514" s="81" t="s">
        <v>1005</v>
      </c>
      <c r="AE514" s="90" t="n">
        <f aca="false">340+742</f>
        <v>1082</v>
      </c>
      <c r="AF514" s="81" t="s">
        <v>1005</v>
      </c>
      <c r="AG514" s="81" t="n">
        <f aca="false">594+760</f>
        <v>1354</v>
      </c>
      <c r="AH514" s="81" t="s">
        <v>1005</v>
      </c>
      <c r="AI514" s="81" t="n">
        <f aca="false">44+255</f>
        <v>299</v>
      </c>
      <c r="AJ514" s="81" t="s">
        <v>1005</v>
      </c>
      <c r="AK514" s="81" t="n">
        <f aca="false">2212+1683</f>
        <v>3895</v>
      </c>
      <c r="AL514" s="81" t="s">
        <v>1005</v>
      </c>
      <c r="AM514" s="81" t="n">
        <f aca="false">O514+Q514+S514+U514+W514+Y514+AA514+AC514+AE514+AG514+AI514+AK514</f>
        <v>16735</v>
      </c>
    </row>
    <row collapsed="false" customFormat="false" customHeight="true" hidden="false" ht="16.2" outlineLevel="0" r="515">
      <c r="A515" s="80" t="n">
        <v>269</v>
      </c>
      <c r="B515" s="81" t="s">
        <v>420</v>
      </c>
      <c r="C515" s="82" t="s">
        <v>1033</v>
      </c>
      <c r="D515" s="82" t="s">
        <v>1034</v>
      </c>
      <c r="E515" s="83" t="s">
        <v>1035</v>
      </c>
      <c r="F515" s="84" t="s">
        <v>1036</v>
      </c>
      <c r="G515" s="85"/>
      <c r="H515" s="85"/>
      <c r="I515" s="85"/>
      <c r="J515" s="85"/>
      <c r="K515" s="86" t="s">
        <v>53</v>
      </c>
      <c r="L515" s="86" t="s">
        <v>53</v>
      </c>
      <c r="M515" s="90"/>
      <c r="N515" s="90"/>
      <c r="O515" s="90"/>
      <c r="P515" s="90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  <c r="AC515" s="81"/>
      <c r="AD515" s="81"/>
      <c r="AE515" s="90"/>
      <c r="AF515" s="81"/>
      <c r="AG515" s="81"/>
      <c r="AH515" s="81"/>
      <c r="AI515" s="81"/>
      <c r="AJ515" s="81"/>
      <c r="AK515" s="81"/>
      <c r="AL515" s="81"/>
      <c r="AM515" s="81" t="n">
        <f aca="false">O515+Q515+S515+U515+W515+Y515+AA515+AC515+AE515+AG515+AI515+AK515</f>
        <v>0</v>
      </c>
    </row>
    <row collapsed="false" customFormat="false" customHeight="true" hidden="false" ht="16.2" outlineLevel="0" r="516">
      <c r="A516" s="80"/>
      <c r="B516" s="89"/>
      <c r="C516" s="85"/>
      <c r="D516" s="85"/>
      <c r="E516" s="83" t="s">
        <v>1037</v>
      </c>
      <c r="F516" s="84" t="s">
        <v>1036</v>
      </c>
      <c r="G516" s="85"/>
      <c r="H516" s="85"/>
      <c r="I516" s="85"/>
      <c r="J516" s="85"/>
      <c r="K516" s="86"/>
      <c r="L516" s="86"/>
      <c r="M516" s="90" t="n">
        <f aca="false">1840+1934</f>
        <v>3774</v>
      </c>
      <c r="N516" s="90" t="n">
        <f aca="false">3146+1335</f>
        <v>4481</v>
      </c>
      <c r="O516" s="90" t="n">
        <v>318</v>
      </c>
      <c r="P516" s="90" t="s">
        <v>1005</v>
      </c>
      <c r="Q516" s="81" t="n">
        <v>270</v>
      </c>
      <c r="R516" s="90" t="s">
        <v>1005</v>
      </c>
      <c r="S516" s="81" t="n">
        <v>89</v>
      </c>
      <c r="T516" s="81" t="s">
        <v>1005</v>
      </c>
      <c r="U516" s="81" t="n">
        <v>148</v>
      </c>
      <c r="V516" s="81" t="s">
        <v>1005</v>
      </c>
      <c r="W516" s="81" t="n">
        <v>80</v>
      </c>
      <c r="X516" s="81" t="s">
        <v>1005</v>
      </c>
      <c r="Y516" s="81" t="n">
        <v>29</v>
      </c>
      <c r="Z516" s="81" t="s">
        <v>1005</v>
      </c>
      <c r="AA516" s="81" t="n">
        <v>58</v>
      </c>
      <c r="AB516" s="81" t="s">
        <v>1005</v>
      </c>
      <c r="AC516" s="81" t="n">
        <v>137</v>
      </c>
      <c r="AD516" s="81" t="s">
        <v>1005</v>
      </c>
      <c r="AE516" s="90" t="n">
        <v>137</v>
      </c>
      <c r="AF516" s="81" t="s">
        <v>1005</v>
      </c>
      <c r="AG516" s="81" t="n">
        <f aca="false">128+205</f>
        <v>333</v>
      </c>
      <c r="AH516" s="81" t="s">
        <v>1005</v>
      </c>
      <c r="AI516" s="81" t="n">
        <f aca="false">292+277</f>
        <v>569</v>
      </c>
      <c r="AJ516" s="81" t="s">
        <v>1005</v>
      </c>
      <c r="AK516" s="81" t="n">
        <f aca="false">367+319</f>
        <v>686</v>
      </c>
      <c r="AL516" s="81" t="s">
        <v>1005</v>
      </c>
      <c r="AM516" s="81" t="n">
        <f aca="false">O516+Q516+S516+U516+W516+Y516+AA516+AC516+AE516+AG516+AI516+AK516</f>
        <v>2854</v>
      </c>
    </row>
    <row collapsed="false" customFormat="false" customHeight="true" hidden="false" ht="16.2" outlineLevel="0" r="517">
      <c r="A517" s="80" t="n">
        <v>270</v>
      </c>
      <c r="B517" s="81" t="s">
        <v>422</v>
      </c>
      <c r="C517" s="82" t="s">
        <v>1033</v>
      </c>
      <c r="D517" s="82" t="s">
        <v>1034</v>
      </c>
      <c r="E517" s="83" t="s">
        <v>1035</v>
      </c>
      <c r="F517" s="84" t="s">
        <v>1036</v>
      </c>
      <c r="G517" s="85"/>
      <c r="H517" s="85"/>
      <c r="I517" s="85"/>
      <c r="J517" s="85"/>
      <c r="K517" s="86" t="s">
        <v>53</v>
      </c>
      <c r="L517" s="86" t="s">
        <v>53</v>
      </c>
      <c r="M517" s="90"/>
      <c r="N517" s="90"/>
      <c r="O517" s="90"/>
      <c r="P517" s="90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  <c r="AC517" s="81"/>
      <c r="AD517" s="81"/>
      <c r="AE517" s="90"/>
      <c r="AF517" s="81"/>
      <c r="AG517" s="81"/>
      <c r="AH517" s="81"/>
      <c r="AI517" s="81"/>
      <c r="AJ517" s="81"/>
      <c r="AK517" s="81"/>
      <c r="AL517" s="81"/>
      <c r="AM517" s="81" t="n">
        <f aca="false">O517+Q517+S517+U517+W517+Y517+AA517+AC517+AE517+AG517+AI517+AK517</f>
        <v>0</v>
      </c>
    </row>
    <row collapsed="false" customFormat="false" customHeight="true" hidden="false" ht="16.2" outlineLevel="0" r="518">
      <c r="A518" s="80"/>
      <c r="B518" s="89"/>
      <c r="C518" s="85"/>
      <c r="D518" s="85"/>
      <c r="E518" s="83" t="s">
        <v>1037</v>
      </c>
      <c r="F518" s="84" t="s">
        <v>1036</v>
      </c>
      <c r="G518" s="85"/>
      <c r="H518" s="85"/>
      <c r="I518" s="85"/>
      <c r="J518" s="85"/>
      <c r="K518" s="86"/>
      <c r="L518" s="86"/>
      <c r="M518" s="90" t="n">
        <f aca="false">186+149</f>
        <v>335</v>
      </c>
      <c r="N518" s="90" t="n">
        <f aca="false">587+805</f>
        <v>1392</v>
      </c>
      <c r="O518" s="90" t="n">
        <v>137</v>
      </c>
      <c r="P518" s="90" t="s">
        <v>1005</v>
      </c>
      <c r="Q518" s="81" t="n">
        <v>159</v>
      </c>
      <c r="R518" s="90" t="s">
        <v>1005</v>
      </c>
      <c r="S518" s="81" t="n">
        <v>100</v>
      </c>
      <c r="T518" s="81" t="s">
        <v>1005</v>
      </c>
      <c r="U518" s="81" t="n">
        <v>125</v>
      </c>
      <c r="V518" s="81" t="s">
        <v>1005</v>
      </c>
      <c r="W518" s="81" t="n">
        <v>63</v>
      </c>
      <c r="X518" s="81" t="s">
        <v>1005</v>
      </c>
      <c r="Y518" s="81" t="n">
        <v>42</v>
      </c>
      <c r="Z518" s="81" t="s">
        <v>1005</v>
      </c>
      <c r="AA518" s="81" t="n">
        <v>18</v>
      </c>
      <c r="AB518" s="81" t="s">
        <v>1005</v>
      </c>
      <c r="AC518" s="81" t="n">
        <v>53</v>
      </c>
      <c r="AD518" s="81" t="s">
        <v>1005</v>
      </c>
      <c r="AE518" s="90" t="n">
        <v>53</v>
      </c>
      <c r="AF518" s="81" t="s">
        <v>1005</v>
      </c>
      <c r="AG518" s="81" t="n">
        <f aca="false">46+67</f>
        <v>113</v>
      </c>
      <c r="AH518" s="81" t="s">
        <v>1005</v>
      </c>
      <c r="AI518" s="81" t="n">
        <f aca="false">136+129</f>
        <v>265</v>
      </c>
      <c r="AJ518" s="81" t="s">
        <v>1005</v>
      </c>
      <c r="AK518" s="81" t="n">
        <f aca="false">95+75</f>
        <v>170</v>
      </c>
      <c r="AL518" s="81" t="s">
        <v>1005</v>
      </c>
      <c r="AM518" s="81" t="n">
        <f aca="false">O518+Q518+S518+U518+W518+Y518+AA518+AC518+AE518+AG518+AI518+AK518</f>
        <v>1298</v>
      </c>
    </row>
    <row collapsed="false" customFormat="false" customHeight="true" hidden="false" ht="16.2" outlineLevel="0" r="519">
      <c r="A519" s="80" t="n">
        <v>271</v>
      </c>
      <c r="B519" s="81" t="s">
        <v>423</v>
      </c>
      <c r="C519" s="82" t="s">
        <v>1033</v>
      </c>
      <c r="D519" s="82" t="s">
        <v>1034</v>
      </c>
      <c r="E519" s="83" t="s">
        <v>1035</v>
      </c>
      <c r="F519" s="84" t="s">
        <v>1036</v>
      </c>
      <c r="G519" s="85"/>
      <c r="H519" s="85"/>
      <c r="I519" s="85"/>
      <c r="J519" s="85"/>
      <c r="K519" s="86" t="s">
        <v>53</v>
      </c>
      <c r="L519" s="86" t="s">
        <v>53</v>
      </c>
      <c r="M519" s="90"/>
      <c r="N519" s="90"/>
      <c r="O519" s="90"/>
      <c r="P519" s="90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  <c r="AC519" s="81"/>
      <c r="AD519" s="81"/>
      <c r="AE519" s="90"/>
      <c r="AF519" s="81"/>
      <c r="AG519" s="81"/>
      <c r="AH519" s="81"/>
      <c r="AI519" s="81"/>
      <c r="AJ519" s="81"/>
      <c r="AK519" s="81"/>
      <c r="AL519" s="81"/>
      <c r="AM519" s="81" t="n">
        <f aca="false">O519+Q519+S519+U519+W519+Y519+AA519+AC519+AE519+AG519+AI519+AK519</f>
        <v>0</v>
      </c>
    </row>
    <row collapsed="false" customFormat="false" customHeight="true" hidden="false" ht="16.2" outlineLevel="0" r="520">
      <c r="A520" s="80"/>
      <c r="B520" s="89"/>
      <c r="C520" s="85"/>
      <c r="D520" s="85"/>
      <c r="E520" s="83" t="s">
        <v>1037</v>
      </c>
      <c r="F520" s="84" t="s">
        <v>1036</v>
      </c>
      <c r="G520" s="85"/>
      <c r="H520" s="85"/>
      <c r="I520" s="85"/>
      <c r="J520" s="85"/>
      <c r="K520" s="86"/>
      <c r="L520" s="86"/>
      <c r="M520" s="90" t="n">
        <f aca="false">333+423</f>
        <v>756</v>
      </c>
      <c r="N520" s="90" t="n">
        <f aca="false">632+1047</f>
        <v>1679</v>
      </c>
      <c r="O520" s="90" t="n">
        <v>94</v>
      </c>
      <c r="P520" s="90" t="s">
        <v>1005</v>
      </c>
      <c r="Q520" s="81" t="n">
        <v>94</v>
      </c>
      <c r="R520" s="90" t="s">
        <v>1005</v>
      </c>
      <c r="S520" s="81" t="n">
        <v>49</v>
      </c>
      <c r="T520" s="81" t="s">
        <v>1005</v>
      </c>
      <c r="U520" s="81" t="n">
        <v>51</v>
      </c>
      <c r="V520" s="81" t="s">
        <v>1005</v>
      </c>
      <c r="W520" s="81" t="n">
        <v>33</v>
      </c>
      <c r="X520" s="81" t="s">
        <v>1005</v>
      </c>
      <c r="Y520" s="81" t="n">
        <v>25</v>
      </c>
      <c r="Z520" s="81" t="s">
        <v>1005</v>
      </c>
      <c r="AA520" s="81" t="n">
        <v>14</v>
      </c>
      <c r="AB520" s="81" t="s">
        <v>1005</v>
      </c>
      <c r="AC520" s="81" t="n">
        <v>48</v>
      </c>
      <c r="AD520" s="81" t="s">
        <v>1005</v>
      </c>
      <c r="AE520" s="90" t="n">
        <v>48</v>
      </c>
      <c r="AF520" s="81" t="s">
        <v>1005</v>
      </c>
      <c r="AG520" s="81" t="n">
        <f aca="false">21+34</f>
        <v>55</v>
      </c>
      <c r="AH520" s="81" t="s">
        <v>1005</v>
      </c>
      <c r="AI520" s="81" t="n">
        <f aca="false">62+66</f>
        <v>128</v>
      </c>
      <c r="AJ520" s="81" t="s">
        <v>1005</v>
      </c>
      <c r="AK520" s="81" t="n">
        <f aca="false">43+34</f>
        <v>77</v>
      </c>
      <c r="AL520" s="81" t="s">
        <v>1005</v>
      </c>
      <c r="AM520" s="81" t="n">
        <f aca="false">O520+Q520+S520+U520+W520+Y520+AA520+AC520+AE520+AG520+AI520+AK520</f>
        <v>716</v>
      </c>
    </row>
    <row collapsed="false" customFormat="false" customHeight="true" hidden="false" ht="16.2" outlineLevel="0" r="521">
      <c r="A521" s="80" t="n">
        <v>274</v>
      </c>
      <c r="B521" s="81" t="s">
        <v>428</v>
      </c>
      <c r="C521" s="82" t="s">
        <v>1033</v>
      </c>
      <c r="D521" s="82" t="s">
        <v>1034</v>
      </c>
      <c r="E521" s="83" t="s">
        <v>1035</v>
      </c>
      <c r="F521" s="84" t="s">
        <v>1036</v>
      </c>
      <c r="G521" s="85"/>
      <c r="H521" s="85"/>
      <c r="I521" s="85"/>
      <c r="J521" s="85"/>
      <c r="K521" s="86" t="s">
        <v>53</v>
      </c>
      <c r="L521" s="86" t="s">
        <v>53</v>
      </c>
      <c r="M521" s="90"/>
      <c r="N521" s="90"/>
      <c r="O521" s="90"/>
      <c r="P521" s="90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  <c r="AC521" s="81"/>
      <c r="AD521" s="81"/>
      <c r="AE521" s="90"/>
      <c r="AF521" s="81"/>
      <c r="AG521" s="81"/>
      <c r="AH521" s="81"/>
      <c r="AI521" s="81"/>
      <c r="AJ521" s="81"/>
      <c r="AK521" s="81"/>
      <c r="AL521" s="81"/>
      <c r="AM521" s="81" t="n">
        <f aca="false">O521+Q521+S521+U521+W521+Y521+AA521+AC521+AE521+AG521+AI521+AK521</f>
        <v>0</v>
      </c>
    </row>
    <row collapsed="false" customFormat="false" customHeight="true" hidden="false" ht="16.2" outlineLevel="0" r="522">
      <c r="A522" s="80"/>
      <c r="B522" s="89"/>
      <c r="C522" s="85"/>
      <c r="D522" s="85"/>
      <c r="E522" s="83" t="s">
        <v>1037</v>
      </c>
      <c r="F522" s="84" t="s">
        <v>1036</v>
      </c>
      <c r="G522" s="85"/>
      <c r="H522" s="85"/>
      <c r="I522" s="85"/>
      <c r="J522" s="85"/>
      <c r="K522" s="86"/>
      <c r="L522" s="86"/>
      <c r="M522" s="90" t="n">
        <f aca="false">2338+2584</f>
        <v>4922</v>
      </c>
      <c r="N522" s="91" t="n">
        <f aca="false">4040+3864</f>
        <v>7904</v>
      </c>
      <c r="O522" s="90" t="n">
        <v>839</v>
      </c>
      <c r="P522" s="90" t="s">
        <v>1005</v>
      </c>
      <c r="Q522" s="81" t="n">
        <v>938</v>
      </c>
      <c r="R522" s="90" t="s">
        <v>1005</v>
      </c>
      <c r="S522" s="81" t="n">
        <v>622</v>
      </c>
      <c r="T522" s="81" t="s">
        <v>1005</v>
      </c>
      <c r="U522" s="81" t="n">
        <v>639</v>
      </c>
      <c r="V522" s="81" t="s">
        <v>1005</v>
      </c>
      <c r="W522" s="81" t="n">
        <v>381</v>
      </c>
      <c r="X522" s="81" t="s">
        <v>1005</v>
      </c>
      <c r="Y522" s="81" t="n">
        <v>259</v>
      </c>
      <c r="Z522" s="81" t="s">
        <v>1005</v>
      </c>
      <c r="AA522" s="81" t="n">
        <v>276</v>
      </c>
      <c r="AB522" s="81" t="s">
        <v>1005</v>
      </c>
      <c r="AC522" s="81" t="n">
        <v>379</v>
      </c>
      <c r="AD522" s="81" t="s">
        <v>1005</v>
      </c>
      <c r="AE522" s="90" t="n">
        <v>379</v>
      </c>
      <c r="AF522" s="81" t="s">
        <v>1005</v>
      </c>
      <c r="AG522" s="81" t="n">
        <f aca="false">236+258</f>
        <v>494</v>
      </c>
      <c r="AH522" s="81" t="s">
        <v>1005</v>
      </c>
      <c r="AI522" s="81" t="n">
        <f aca="false">444+384</f>
        <v>828</v>
      </c>
      <c r="AJ522" s="81" t="s">
        <v>1005</v>
      </c>
      <c r="AK522" s="81" t="n">
        <f aca="false">357+266</f>
        <v>623</v>
      </c>
      <c r="AL522" s="81" t="s">
        <v>1005</v>
      </c>
      <c r="AM522" s="81" t="n">
        <f aca="false">O522+Q522+S522+U522+W522+Y522+AA522+AC522+AE522+AG522+AI522+AK522</f>
        <v>6657</v>
      </c>
    </row>
    <row collapsed="false" customFormat="false" customHeight="true" hidden="false" ht="16.2" outlineLevel="0" r="523">
      <c r="A523" s="80" t="n">
        <v>275</v>
      </c>
      <c r="B523" s="81" t="s">
        <v>429</v>
      </c>
      <c r="C523" s="82" t="s">
        <v>1033</v>
      </c>
      <c r="D523" s="82" t="s">
        <v>1034</v>
      </c>
      <c r="E523" s="83" t="s">
        <v>1035</v>
      </c>
      <c r="F523" s="84" t="s">
        <v>1036</v>
      </c>
      <c r="G523" s="85"/>
      <c r="H523" s="85"/>
      <c r="I523" s="85"/>
      <c r="J523" s="85"/>
      <c r="K523" s="86" t="s">
        <v>53</v>
      </c>
      <c r="L523" s="86" t="s">
        <v>53</v>
      </c>
      <c r="M523" s="90"/>
      <c r="N523" s="90"/>
      <c r="O523" s="90"/>
      <c r="P523" s="90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  <c r="AC523" s="81"/>
      <c r="AD523" s="81"/>
      <c r="AE523" s="90"/>
      <c r="AF523" s="81"/>
      <c r="AG523" s="81"/>
      <c r="AH523" s="81"/>
      <c r="AI523" s="81"/>
      <c r="AJ523" s="81"/>
      <c r="AK523" s="81"/>
      <c r="AL523" s="81"/>
      <c r="AM523" s="81" t="n">
        <f aca="false">O523+Q523+S523+U523+W523+Y523+AA523+AC523+AE523+AG523+AI523+AK523</f>
        <v>0</v>
      </c>
    </row>
    <row collapsed="false" customFormat="false" customHeight="true" hidden="false" ht="16.2" outlineLevel="0" r="524">
      <c r="A524" s="80"/>
      <c r="B524" s="89"/>
      <c r="C524" s="85"/>
      <c r="D524" s="85"/>
      <c r="E524" s="83" t="s">
        <v>1037</v>
      </c>
      <c r="F524" s="84" t="s">
        <v>1036</v>
      </c>
      <c r="G524" s="85"/>
      <c r="H524" s="85"/>
      <c r="I524" s="85"/>
      <c r="J524" s="85"/>
      <c r="K524" s="86"/>
      <c r="L524" s="86"/>
      <c r="M524" s="90" t="n">
        <f aca="false">2238+2637</f>
        <v>4875</v>
      </c>
      <c r="N524" s="91" t="n">
        <f aca="false">2891+2568</f>
        <v>5459</v>
      </c>
      <c r="O524" s="90" t="n">
        <v>603</v>
      </c>
      <c r="P524" s="90" t="s">
        <v>1005</v>
      </c>
      <c r="Q524" s="81" t="n">
        <v>686</v>
      </c>
      <c r="R524" s="90" t="s">
        <v>1005</v>
      </c>
      <c r="S524" s="81" t="n">
        <v>622</v>
      </c>
      <c r="T524" s="81" t="s">
        <v>1005</v>
      </c>
      <c r="U524" s="81" t="n">
        <v>478</v>
      </c>
      <c r="V524" s="81" t="s">
        <v>1005</v>
      </c>
      <c r="W524" s="81" t="n">
        <v>375</v>
      </c>
      <c r="X524" s="81" t="s">
        <v>1005</v>
      </c>
      <c r="Y524" s="81" t="n">
        <v>274</v>
      </c>
      <c r="Z524" s="81" t="s">
        <v>1005</v>
      </c>
      <c r="AA524" s="81" t="n">
        <v>278</v>
      </c>
      <c r="AB524" s="81" t="s">
        <v>1005</v>
      </c>
      <c r="AC524" s="81" t="n">
        <v>337</v>
      </c>
      <c r="AD524" s="81" t="s">
        <v>1005</v>
      </c>
      <c r="AE524" s="90" t="n">
        <v>337</v>
      </c>
      <c r="AF524" s="81" t="s">
        <v>1005</v>
      </c>
      <c r="AG524" s="81" t="n">
        <f aca="false">196+213</f>
        <v>409</v>
      </c>
      <c r="AH524" s="81" t="s">
        <v>1005</v>
      </c>
      <c r="AI524" s="81" t="n">
        <f aca="false">360+287</f>
        <v>647</v>
      </c>
      <c r="AJ524" s="81" t="s">
        <v>1005</v>
      </c>
      <c r="AK524" s="81" t="n">
        <f aca="false">275+192</f>
        <v>467</v>
      </c>
      <c r="AL524" s="81" t="s">
        <v>1005</v>
      </c>
      <c r="AM524" s="81" t="n">
        <f aca="false">O524+Q524+S524+U524+W524+Y524+AA524+AC524+AE524+AG524+AI524+AK524</f>
        <v>5513</v>
      </c>
    </row>
    <row collapsed="false" customFormat="false" customHeight="true" hidden="false" ht="16.2" outlineLevel="0" r="525">
      <c r="A525" s="80" t="n">
        <v>276</v>
      </c>
      <c r="B525" s="81"/>
      <c r="C525" s="82" t="s">
        <v>1033</v>
      </c>
      <c r="D525" s="85"/>
      <c r="E525" s="83" t="s">
        <v>1035</v>
      </c>
      <c r="F525" s="49" t="s">
        <v>1036</v>
      </c>
      <c r="G525" s="85"/>
      <c r="H525" s="85"/>
      <c r="I525" s="85"/>
      <c r="J525" s="85"/>
      <c r="K525" s="85"/>
      <c r="L525" s="85"/>
      <c r="M525" s="81"/>
      <c r="N525" s="81"/>
      <c r="O525" s="96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  <c r="AC525" s="81"/>
      <c r="AD525" s="81"/>
      <c r="AE525" s="81"/>
      <c r="AF525" s="81"/>
      <c r="AG525" s="81"/>
      <c r="AH525" s="81"/>
      <c r="AI525" s="81"/>
      <c r="AJ525" s="81"/>
      <c r="AK525" s="81"/>
      <c r="AL525" s="81"/>
      <c r="AM525" s="81"/>
    </row>
    <row collapsed="false" customFormat="false" customHeight="true" hidden="false" ht="16.2" outlineLevel="0" r="526">
      <c r="A526" s="80"/>
      <c r="B526" s="81" t="s">
        <v>431</v>
      </c>
      <c r="C526" s="85"/>
      <c r="D526" s="85" t="s">
        <v>1054</v>
      </c>
      <c r="E526" s="83" t="s">
        <v>1037</v>
      </c>
      <c r="F526" s="49" t="s">
        <v>1036</v>
      </c>
      <c r="G526" s="85" t="s">
        <v>1039</v>
      </c>
      <c r="H526" s="85" t="n">
        <v>12</v>
      </c>
      <c r="I526" s="85" t="s">
        <v>1039</v>
      </c>
      <c r="J526" s="85" t="n">
        <v>2</v>
      </c>
      <c r="K526" s="85" t="s">
        <v>1041</v>
      </c>
      <c r="L526" s="85" t="s">
        <v>1041</v>
      </c>
      <c r="M526" s="81" t="n">
        <v>1896</v>
      </c>
      <c r="N526" s="81"/>
      <c r="O526" s="96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  <c r="AC526" s="81"/>
      <c r="AD526" s="81"/>
      <c r="AE526" s="81"/>
      <c r="AF526" s="81"/>
      <c r="AG526" s="81"/>
      <c r="AH526" s="81"/>
      <c r="AI526" s="81"/>
      <c r="AJ526" s="81"/>
      <c r="AK526" s="81"/>
      <c r="AL526" s="81"/>
      <c r="AM526" s="81"/>
    </row>
    <row collapsed="false" customFormat="false" customHeight="true" hidden="false" ht="16.2" outlineLevel="0" r="527">
      <c r="A527" s="80" t="n">
        <v>277</v>
      </c>
      <c r="B527" s="81"/>
      <c r="C527" s="82" t="s">
        <v>1033</v>
      </c>
      <c r="D527" s="85"/>
      <c r="E527" s="83" t="s">
        <v>1035</v>
      </c>
      <c r="F527" s="49" t="s">
        <v>1036</v>
      </c>
      <c r="G527" s="85"/>
      <c r="H527" s="85"/>
      <c r="I527" s="85"/>
      <c r="J527" s="85"/>
      <c r="K527" s="85"/>
      <c r="L527" s="85"/>
      <c r="M527" s="81"/>
      <c r="N527" s="81"/>
      <c r="O527" s="96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  <c r="AC527" s="81"/>
      <c r="AD527" s="81"/>
      <c r="AE527" s="81"/>
      <c r="AF527" s="81"/>
      <c r="AG527" s="81"/>
      <c r="AH527" s="81"/>
      <c r="AI527" s="81"/>
      <c r="AJ527" s="81"/>
      <c r="AK527" s="81"/>
      <c r="AL527" s="81"/>
      <c r="AM527" s="81"/>
    </row>
    <row collapsed="false" customFormat="false" customHeight="true" hidden="false" ht="16.2" outlineLevel="0" r="528">
      <c r="A528" s="80"/>
      <c r="B528" s="81" t="s">
        <v>432</v>
      </c>
      <c r="C528" s="85"/>
      <c r="D528" s="85" t="s">
        <v>1054</v>
      </c>
      <c r="E528" s="83" t="s">
        <v>1037</v>
      </c>
      <c r="F528" s="49" t="s">
        <v>1036</v>
      </c>
      <c r="G528" s="85" t="s">
        <v>1039</v>
      </c>
      <c r="H528" s="85" t="n">
        <v>12</v>
      </c>
      <c r="I528" s="85" t="s">
        <v>1039</v>
      </c>
      <c r="J528" s="85" t="n">
        <v>2</v>
      </c>
      <c r="K528" s="85" t="s">
        <v>1041</v>
      </c>
      <c r="L528" s="85" t="s">
        <v>1041</v>
      </c>
      <c r="M528" s="81" t="n">
        <v>1374</v>
      </c>
      <c r="N528" s="81"/>
      <c r="O528" s="96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  <c r="AC528" s="81"/>
      <c r="AD528" s="81"/>
      <c r="AE528" s="81"/>
      <c r="AF528" s="81"/>
      <c r="AG528" s="81"/>
      <c r="AH528" s="81"/>
      <c r="AI528" s="81"/>
      <c r="AJ528" s="81"/>
      <c r="AK528" s="81"/>
      <c r="AL528" s="81"/>
      <c r="AM528" s="81"/>
    </row>
    <row collapsed="false" customFormat="false" customHeight="true" hidden="false" ht="16.2" outlineLevel="0" r="529">
      <c r="A529" s="80" t="n">
        <v>278</v>
      </c>
      <c r="B529" s="81"/>
      <c r="C529" s="82" t="s">
        <v>1033</v>
      </c>
      <c r="D529" s="85"/>
      <c r="E529" s="83" t="s">
        <v>1035</v>
      </c>
      <c r="F529" s="49" t="s">
        <v>1036</v>
      </c>
      <c r="G529" s="85"/>
      <c r="H529" s="85"/>
      <c r="I529" s="85"/>
      <c r="J529" s="85"/>
      <c r="K529" s="85"/>
      <c r="L529" s="85"/>
      <c r="M529" s="81"/>
      <c r="N529" s="81"/>
      <c r="O529" s="96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  <c r="AC529" s="81"/>
      <c r="AD529" s="81"/>
      <c r="AE529" s="81"/>
      <c r="AF529" s="81"/>
      <c r="AG529" s="81"/>
      <c r="AH529" s="81"/>
      <c r="AI529" s="81"/>
      <c r="AJ529" s="81"/>
      <c r="AK529" s="81"/>
      <c r="AL529" s="81"/>
      <c r="AM529" s="81"/>
    </row>
    <row collapsed="false" customFormat="false" customHeight="true" hidden="false" ht="16.2" outlineLevel="0" r="530">
      <c r="A530" s="80"/>
      <c r="B530" s="81" t="s">
        <v>433</v>
      </c>
      <c r="C530" s="85"/>
      <c r="D530" s="85" t="s">
        <v>1054</v>
      </c>
      <c r="E530" s="83" t="s">
        <v>1037</v>
      </c>
      <c r="F530" s="49" t="s">
        <v>1036</v>
      </c>
      <c r="G530" s="85" t="s">
        <v>1039</v>
      </c>
      <c r="H530" s="85" t="n">
        <v>12</v>
      </c>
      <c r="I530" s="85" t="s">
        <v>1039</v>
      </c>
      <c r="J530" s="85" t="n">
        <v>2</v>
      </c>
      <c r="K530" s="85" t="s">
        <v>1041</v>
      </c>
      <c r="L530" s="85" t="s">
        <v>1041</v>
      </c>
      <c r="M530" s="81" t="n">
        <v>5052</v>
      </c>
      <c r="N530" s="81"/>
      <c r="O530" s="96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  <c r="AC530" s="81"/>
      <c r="AD530" s="81"/>
      <c r="AE530" s="81"/>
      <c r="AF530" s="81"/>
      <c r="AG530" s="81"/>
      <c r="AH530" s="81"/>
      <c r="AI530" s="81"/>
      <c r="AJ530" s="81"/>
      <c r="AK530" s="81"/>
      <c r="AL530" s="81"/>
      <c r="AM530" s="81"/>
    </row>
    <row collapsed="false" customFormat="false" customHeight="true" hidden="false" ht="16.2" outlineLevel="0" r="531">
      <c r="A531" s="80" t="n">
        <v>279</v>
      </c>
      <c r="B531" s="81"/>
      <c r="C531" s="82" t="s">
        <v>1033</v>
      </c>
      <c r="D531" s="85"/>
      <c r="E531" s="83" t="s">
        <v>1035</v>
      </c>
      <c r="F531" s="49" t="s">
        <v>1036</v>
      </c>
      <c r="G531" s="85"/>
      <c r="H531" s="85"/>
      <c r="I531" s="85"/>
      <c r="J531" s="85"/>
      <c r="K531" s="85"/>
      <c r="L531" s="85"/>
      <c r="M531" s="81"/>
      <c r="N531" s="81"/>
      <c r="O531" s="96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  <c r="AC531" s="81"/>
      <c r="AD531" s="81"/>
      <c r="AE531" s="81"/>
      <c r="AF531" s="81"/>
      <c r="AG531" s="81"/>
      <c r="AH531" s="81"/>
      <c r="AI531" s="81"/>
      <c r="AJ531" s="81"/>
      <c r="AK531" s="81"/>
      <c r="AL531" s="81"/>
      <c r="AM531" s="81"/>
    </row>
    <row collapsed="false" customFormat="false" customHeight="true" hidden="false" ht="16.2" outlineLevel="0" r="532">
      <c r="A532" s="80"/>
      <c r="B532" s="81" t="s">
        <v>434</v>
      </c>
      <c r="C532" s="85"/>
      <c r="D532" s="85" t="s">
        <v>1054</v>
      </c>
      <c r="E532" s="83" t="s">
        <v>1037</v>
      </c>
      <c r="F532" s="49" t="s">
        <v>1036</v>
      </c>
      <c r="G532" s="85" t="s">
        <v>1039</v>
      </c>
      <c r="H532" s="85" t="n">
        <v>2</v>
      </c>
      <c r="I532" s="85" t="s">
        <v>1039</v>
      </c>
      <c r="J532" s="85" t="n">
        <v>1</v>
      </c>
      <c r="K532" s="85" t="s">
        <v>1041</v>
      </c>
      <c r="L532" s="85" t="s">
        <v>1041</v>
      </c>
      <c r="M532" s="81"/>
      <c r="N532" s="81"/>
      <c r="O532" s="96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  <c r="AC532" s="81"/>
      <c r="AD532" s="81"/>
      <c r="AE532" s="81"/>
      <c r="AF532" s="81"/>
      <c r="AG532" s="81"/>
      <c r="AH532" s="81"/>
      <c r="AI532" s="81"/>
      <c r="AJ532" s="81"/>
      <c r="AK532" s="81"/>
      <c r="AL532" s="81"/>
      <c r="AM532" s="81"/>
    </row>
    <row collapsed="false" customFormat="false" customHeight="true" hidden="false" ht="16.2" outlineLevel="0" r="533">
      <c r="A533" s="80" t="n">
        <v>280</v>
      </c>
      <c r="B533" s="81"/>
      <c r="C533" s="82" t="s">
        <v>1033</v>
      </c>
      <c r="D533" s="85"/>
      <c r="E533" s="83" t="s">
        <v>1035</v>
      </c>
      <c r="F533" s="49" t="s">
        <v>1036</v>
      </c>
      <c r="G533" s="85"/>
      <c r="H533" s="85"/>
      <c r="I533" s="85"/>
      <c r="J533" s="85"/>
      <c r="K533" s="85"/>
      <c r="L533" s="85"/>
      <c r="M533" s="81"/>
      <c r="N533" s="81"/>
      <c r="O533" s="96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  <c r="AC533" s="81"/>
      <c r="AD533" s="81"/>
      <c r="AE533" s="81"/>
      <c r="AF533" s="81"/>
      <c r="AG533" s="81"/>
      <c r="AH533" s="81"/>
      <c r="AI533" s="81"/>
      <c r="AJ533" s="81"/>
      <c r="AK533" s="81"/>
      <c r="AL533" s="81"/>
      <c r="AM533" s="81"/>
    </row>
    <row collapsed="false" customFormat="false" customHeight="true" hidden="false" ht="16.2" outlineLevel="0" r="534">
      <c r="A534" s="80"/>
      <c r="B534" s="81" t="s">
        <v>435</v>
      </c>
      <c r="C534" s="85"/>
      <c r="D534" s="85" t="s">
        <v>1054</v>
      </c>
      <c r="E534" s="83" t="s">
        <v>1037</v>
      </c>
      <c r="F534" s="49" t="s">
        <v>1036</v>
      </c>
      <c r="G534" s="85" t="s">
        <v>1039</v>
      </c>
      <c r="H534" s="85" t="n">
        <v>55</v>
      </c>
      <c r="I534" s="85" t="s">
        <v>1050</v>
      </c>
      <c r="J534" s="85" t="n">
        <v>11</v>
      </c>
      <c r="K534" s="85" t="s">
        <v>1041</v>
      </c>
      <c r="L534" s="85" t="s">
        <v>1041</v>
      </c>
      <c r="M534" s="81" t="n">
        <v>11670</v>
      </c>
      <c r="N534" s="81"/>
      <c r="O534" s="96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  <c r="AC534" s="81"/>
      <c r="AD534" s="81"/>
      <c r="AE534" s="81"/>
      <c r="AF534" s="81"/>
      <c r="AG534" s="81"/>
      <c r="AH534" s="81"/>
      <c r="AI534" s="81"/>
      <c r="AJ534" s="81"/>
      <c r="AK534" s="81"/>
      <c r="AL534" s="81"/>
      <c r="AM534" s="81"/>
    </row>
    <row collapsed="false" customFormat="false" customHeight="true" hidden="false" ht="16.2" outlineLevel="0" r="535">
      <c r="A535" s="80" t="n">
        <v>281</v>
      </c>
      <c r="B535" s="81"/>
      <c r="C535" s="82" t="s">
        <v>1033</v>
      </c>
      <c r="D535" s="85"/>
      <c r="E535" s="83" t="s">
        <v>1035</v>
      </c>
      <c r="F535" s="49" t="s">
        <v>1036</v>
      </c>
      <c r="G535" s="85"/>
      <c r="H535" s="85"/>
      <c r="I535" s="85"/>
      <c r="J535" s="85"/>
      <c r="K535" s="85"/>
      <c r="L535" s="85"/>
      <c r="M535" s="81"/>
      <c r="N535" s="81"/>
      <c r="O535" s="96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  <c r="AC535" s="81"/>
      <c r="AD535" s="81"/>
      <c r="AE535" s="81"/>
      <c r="AF535" s="81"/>
      <c r="AG535" s="81"/>
      <c r="AH535" s="81"/>
      <c r="AI535" s="81"/>
      <c r="AJ535" s="81"/>
      <c r="AK535" s="81"/>
      <c r="AL535" s="81"/>
      <c r="AM535" s="81"/>
    </row>
    <row collapsed="false" customFormat="false" customHeight="true" hidden="false" ht="16.2" outlineLevel="0" r="536">
      <c r="A536" s="80"/>
      <c r="B536" s="81" t="s">
        <v>437</v>
      </c>
      <c r="C536" s="85"/>
      <c r="D536" s="85" t="s">
        <v>1054</v>
      </c>
      <c r="E536" s="83" t="s">
        <v>1037</v>
      </c>
      <c r="F536" s="49" t="s">
        <v>1036</v>
      </c>
      <c r="G536" s="85" t="s">
        <v>1042</v>
      </c>
      <c r="H536" s="85" t="n">
        <v>8</v>
      </c>
      <c r="I536" s="85" t="s">
        <v>1039</v>
      </c>
      <c r="J536" s="85" t="n">
        <v>2</v>
      </c>
      <c r="K536" s="85" t="s">
        <v>1041</v>
      </c>
      <c r="L536" s="85" t="s">
        <v>1041</v>
      </c>
      <c r="M536" s="81" t="n">
        <v>1980</v>
      </c>
      <c r="N536" s="81"/>
      <c r="O536" s="96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  <c r="AC536" s="81"/>
      <c r="AD536" s="81"/>
      <c r="AE536" s="81"/>
      <c r="AF536" s="81"/>
      <c r="AG536" s="81"/>
      <c r="AH536" s="81"/>
      <c r="AI536" s="81"/>
      <c r="AJ536" s="81"/>
      <c r="AK536" s="81"/>
      <c r="AL536" s="81"/>
      <c r="AM536" s="81"/>
    </row>
    <row collapsed="false" customFormat="false" customHeight="true" hidden="false" ht="16.2" outlineLevel="0" r="537">
      <c r="A537" s="80" t="n">
        <v>282</v>
      </c>
      <c r="B537" s="81"/>
      <c r="C537" s="82" t="s">
        <v>1033</v>
      </c>
      <c r="D537" s="85"/>
      <c r="E537" s="83" t="s">
        <v>1035</v>
      </c>
      <c r="F537" s="49" t="s">
        <v>1036</v>
      </c>
      <c r="G537" s="85"/>
      <c r="H537" s="85"/>
      <c r="I537" s="85"/>
      <c r="J537" s="85"/>
      <c r="K537" s="85"/>
      <c r="L537" s="85"/>
      <c r="M537" s="81"/>
      <c r="N537" s="81"/>
      <c r="O537" s="96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  <c r="AC537" s="81"/>
      <c r="AD537" s="81"/>
      <c r="AE537" s="81"/>
      <c r="AF537" s="81"/>
      <c r="AG537" s="81"/>
      <c r="AH537" s="81"/>
      <c r="AI537" s="81"/>
      <c r="AJ537" s="81"/>
      <c r="AK537" s="81"/>
      <c r="AL537" s="81"/>
      <c r="AM537" s="81"/>
    </row>
    <row collapsed="false" customFormat="false" customHeight="true" hidden="false" ht="16.2" outlineLevel="0" r="538">
      <c r="A538" s="80"/>
      <c r="B538" s="81" t="s">
        <v>438</v>
      </c>
      <c r="C538" s="85"/>
      <c r="D538" s="85" t="s">
        <v>1054</v>
      </c>
      <c r="E538" s="83" t="s">
        <v>1037</v>
      </c>
      <c r="F538" s="49" t="s">
        <v>1036</v>
      </c>
      <c r="G538" s="85" t="s">
        <v>1039</v>
      </c>
      <c r="H538" s="85" t="n">
        <v>12</v>
      </c>
      <c r="I538" s="85" t="s">
        <v>1039</v>
      </c>
      <c r="J538" s="85" t="n">
        <v>3</v>
      </c>
      <c r="K538" s="85" t="s">
        <v>1041</v>
      </c>
      <c r="L538" s="85" t="s">
        <v>1041</v>
      </c>
      <c r="M538" s="81" t="n">
        <v>2904</v>
      </c>
      <c r="N538" s="81"/>
      <c r="O538" s="96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  <c r="AC538" s="81"/>
      <c r="AD538" s="81"/>
      <c r="AE538" s="81"/>
      <c r="AF538" s="81"/>
      <c r="AG538" s="81"/>
      <c r="AH538" s="81"/>
      <c r="AI538" s="81"/>
      <c r="AJ538" s="81"/>
      <c r="AK538" s="81"/>
      <c r="AL538" s="81"/>
      <c r="AM538" s="81"/>
    </row>
    <row collapsed="false" customFormat="false" customHeight="true" hidden="false" ht="16.2" outlineLevel="0" r="539">
      <c r="A539" s="80" t="n">
        <v>283</v>
      </c>
      <c r="B539" s="81"/>
      <c r="C539" s="82" t="s">
        <v>1033</v>
      </c>
      <c r="D539" s="85"/>
      <c r="E539" s="83" t="s">
        <v>1035</v>
      </c>
      <c r="F539" s="49" t="s">
        <v>1036</v>
      </c>
      <c r="G539" s="85"/>
      <c r="H539" s="85"/>
      <c r="I539" s="85"/>
      <c r="J539" s="85"/>
      <c r="K539" s="85"/>
      <c r="L539" s="85"/>
      <c r="M539" s="81"/>
      <c r="N539" s="81"/>
      <c r="O539" s="96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  <c r="AC539" s="81"/>
      <c r="AD539" s="81"/>
      <c r="AE539" s="81"/>
      <c r="AF539" s="81"/>
      <c r="AG539" s="81"/>
      <c r="AH539" s="81"/>
      <c r="AI539" s="81"/>
      <c r="AJ539" s="81"/>
      <c r="AK539" s="81"/>
      <c r="AL539" s="81"/>
      <c r="AM539" s="81"/>
    </row>
    <row collapsed="false" customFormat="false" customHeight="true" hidden="false" ht="16.2" outlineLevel="0" r="540">
      <c r="A540" s="80"/>
      <c r="B540" s="81" t="s">
        <v>439</v>
      </c>
      <c r="C540" s="85"/>
      <c r="D540" s="85" t="s">
        <v>1054</v>
      </c>
      <c r="E540" s="83" t="s">
        <v>1037</v>
      </c>
      <c r="F540" s="49" t="s">
        <v>1036</v>
      </c>
      <c r="G540" s="85" t="s">
        <v>1039</v>
      </c>
      <c r="H540" s="85" t="n">
        <v>8</v>
      </c>
      <c r="I540" s="85" t="s">
        <v>1039</v>
      </c>
      <c r="J540" s="85" t="n">
        <v>2</v>
      </c>
      <c r="K540" s="85" t="s">
        <v>1041</v>
      </c>
      <c r="L540" s="85" t="s">
        <v>1041</v>
      </c>
      <c r="M540" s="81" t="n">
        <v>2184</v>
      </c>
      <c r="N540" s="81"/>
      <c r="O540" s="96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  <c r="AC540" s="81"/>
      <c r="AD540" s="81"/>
      <c r="AE540" s="81"/>
      <c r="AF540" s="81"/>
      <c r="AG540" s="81"/>
      <c r="AH540" s="81"/>
      <c r="AI540" s="81"/>
      <c r="AJ540" s="81"/>
      <c r="AK540" s="81"/>
      <c r="AL540" s="81"/>
      <c r="AM540" s="81"/>
    </row>
    <row collapsed="false" customFormat="false" customHeight="true" hidden="false" ht="16.2" outlineLevel="0" r="541">
      <c r="A541" s="80" t="n">
        <v>284</v>
      </c>
      <c r="B541" s="81"/>
      <c r="C541" s="82" t="s">
        <v>1033</v>
      </c>
      <c r="D541" s="85"/>
      <c r="E541" s="83" t="s">
        <v>1035</v>
      </c>
      <c r="F541" s="49" t="s">
        <v>1036</v>
      </c>
      <c r="G541" s="85"/>
      <c r="H541" s="85"/>
      <c r="I541" s="85"/>
      <c r="J541" s="85"/>
      <c r="K541" s="85"/>
      <c r="L541" s="85"/>
      <c r="M541" s="81"/>
      <c r="N541" s="81"/>
      <c r="O541" s="96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  <c r="AC541" s="81"/>
      <c r="AD541" s="81"/>
      <c r="AE541" s="81"/>
      <c r="AF541" s="81"/>
      <c r="AG541" s="81"/>
      <c r="AH541" s="81"/>
      <c r="AI541" s="81"/>
      <c r="AJ541" s="81"/>
      <c r="AK541" s="81"/>
      <c r="AL541" s="81"/>
      <c r="AM541" s="81"/>
    </row>
    <row collapsed="false" customFormat="false" customHeight="true" hidden="false" ht="16.2" outlineLevel="0" r="542">
      <c r="A542" s="80"/>
      <c r="B542" s="81" t="s">
        <v>440</v>
      </c>
      <c r="C542" s="85"/>
      <c r="D542" s="85" t="s">
        <v>1054</v>
      </c>
      <c r="E542" s="83" t="s">
        <v>1037</v>
      </c>
      <c r="F542" s="49" t="s">
        <v>1036</v>
      </c>
      <c r="G542" s="85" t="s">
        <v>1042</v>
      </c>
      <c r="H542" s="85" t="n">
        <v>8</v>
      </c>
      <c r="I542" s="85" t="s">
        <v>1039</v>
      </c>
      <c r="J542" s="85" t="n">
        <v>2</v>
      </c>
      <c r="K542" s="85" t="s">
        <v>1041</v>
      </c>
      <c r="L542" s="85" t="s">
        <v>1041</v>
      </c>
      <c r="M542" s="81" t="n">
        <v>2172</v>
      </c>
      <c r="N542" s="81"/>
      <c r="O542" s="96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  <c r="AC542" s="81"/>
      <c r="AD542" s="81"/>
      <c r="AE542" s="81"/>
      <c r="AF542" s="81"/>
      <c r="AG542" s="81"/>
      <c r="AH542" s="81"/>
      <c r="AI542" s="81"/>
      <c r="AJ542" s="81"/>
      <c r="AK542" s="81"/>
      <c r="AL542" s="81"/>
      <c r="AM542" s="81"/>
    </row>
    <row collapsed="false" customFormat="false" customHeight="true" hidden="false" ht="16.2" outlineLevel="0" r="543">
      <c r="A543" s="80" t="n">
        <v>285</v>
      </c>
      <c r="B543" s="81"/>
      <c r="C543" s="82" t="s">
        <v>1033</v>
      </c>
      <c r="D543" s="85"/>
      <c r="E543" s="83" t="s">
        <v>1035</v>
      </c>
      <c r="F543" s="49" t="s">
        <v>1036</v>
      </c>
      <c r="G543" s="85"/>
      <c r="H543" s="85"/>
      <c r="I543" s="85"/>
      <c r="J543" s="85"/>
      <c r="K543" s="85"/>
      <c r="L543" s="85"/>
      <c r="M543" s="81"/>
      <c r="N543" s="81"/>
      <c r="O543" s="96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  <c r="AC543" s="81"/>
      <c r="AD543" s="81"/>
      <c r="AE543" s="81"/>
      <c r="AF543" s="81"/>
      <c r="AG543" s="81"/>
      <c r="AH543" s="81"/>
      <c r="AI543" s="81"/>
      <c r="AJ543" s="81"/>
      <c r="AK543" s="81"/>
      <c r="AL543" s="81"/>
      <c r="AM543" s="81"/>
    </row>
    <row collapsed="false" customFormat="false" customHeight="true" hidden="false" ht="16.2" outlineLevel="0" r="544">
      <c r="A544" s="80"/>
      <c r="B544" s="81" t="s">
        <v>441</v>
      </c>
      <c r="C544" s="85"/>
      <c r="D544" s="85" t="s">
        <v>1054</v>
      </c>
      <c r="E544" s="83" t="s">
        <v>1037</v>
      </c>
      <c r="F544" s="49" t="s">
        <v>1036</v>
      </c>
      <c r="G544" s="85" t="s">
        <v>1042</v>
      </c>
      <c r="H544" s="85" t="n">
        <v>12</v>
      </c>
      <c r="I544" s="85" t="s">
        <v>1039</v>
      </c>
      <c r="J544" s="85" t="n">
        <v>3</v>
      </c>
      <c r="K544" s="85" t="s">
        <v>1041</v>
      </c>
      <c r="L544" s="85" t="s">
        <v>1041</v>
      </c>
      <c r="M544" s="81" t="n">
        <v>3090</v>
      </c>
      <c r="N544" s="81"/>
      <c r="O544" s="96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  <c r="AC544" s="81"/>
      <c r="AD544" s="81"/>
      <c r="AE544" s="81"/>
      <c r="AF544" s="81"/>
      <c r="AG544" s="81"/>
      <c r="AH544" s="81"/>
      <c r="AI544" s="81"/>
      <c r="AJ544" s="81"/>
      <c r="AK544" s="81"/>
      <c r="AL544" s="81"/>
      <c r="AM544" s="81"/>
    </row>
    <row collapsed="false" customFormat="false" customHeight="true" hidden="false" ht="16.2" outlineLevel="0" r="545">
      <c r="A545" s="80" t="n">
        <v>286</v>
      </c>
      <c r="B545" s="81"/>
      <c r="C545" s="82" t="s">
        <v>1033</v>
      </c>
      <c r="D545" s="85"/>
      <c r="E545" s="83" t="s">
        <v>1035</v>
      </c>
      <c r="F545" s="49" t="s">
        <v>1036</v>
      </c>
      <c r="G545" s="85"/>
      <c r="H545" s="85"/>
      <c r="I545" s="85"/>
      <c r="J545" s="85"/>
      <c r="K545" s="85"/>
      <c r="L545" s="85"/>
      <c r="M545" s="81"/>
      <c r="N545" s="81"/>
      <c r="O545" s="96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  <c r="AC545" s="81"/>
      <c r="AD545" s="81"/>
      <c r="AE545" s="81"/>
      <c r="AF545" s="81"/>
      <c r="AG545" s="81"/>
      <c r="AH545" s="81"/>
      <c r="AI545" s="81"/>
      <c r="AJ545" s="81"/>
      <c r="AK545" s="81"/>
      <c r="AL545" s="81"/>
      <c r="AM545" s="81"/>
    </row>
    <row collapsed="false" customFormat="false" customHeight="true" hidden="false" ht="16.2" outlineLevel="0" r="546">
      <c r="A546" s="80"/>
      <c r="B546" s="81" t="s">
        <v>442</v>
      </c>
      <c r="C546" s="85"/>
      <c r="D546" s="85" t="s">
        <v>1054</v>
      </c>
      <c r="E546" s="83" t="s">
        <v>1037</v>
      </c>
      <c r="F546" s="49" t="s">
        <v>1036</v>
      </c>
      <c r="G546" s="85" t="s">
        <v>1039</v>
      </c>
      <c r="H546" s="85" t="n">
        <v>12</v>
      </c>
      <c r="I546" s="85" t="s">
        <v>1039</v>
      </c>
      <c r="J546" s="85" t="n">
        <v>3</v>
      </c>
      <c r="K546" s="85" t="s">
        <v>1041</v>
      </c>
      <c r="L546" s="85" t="s">
        <v>1041</v>
      </c>
      <c r="M546" s="81" t="n">
        <v>2988</v>
      </c>
      <c r="N546" s="81"/>
      <c r="O546" s="96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  <c r="AC546" s="81"/>
      <c r="AD546" s="81"/>
      <c r="AE546" s="81"/>
      <c r="AF546" s="81"/>
      <c r="AG546" s="81"/>
      <c r="AH546" s="81"/>
      <c r="AI546" s="81"/>
      <c r="AJ546" s="81"/>
      <c r="AK546" s="81"/>
      <c r="AL546" s="81"/>
      <c r="AM546" s="81"/>
    </row>
    <row collapsed="false" customFormat="false" customHeight="true" hidden="false" ht="16.2" outlineLevel="0" r="547">
      <c r="A547" s="80" t="n">
        <v>287</v>
      </c>
      <c r="B547" s="81"/>
      <c r="C547" s="82" t="s">
        <v>1033</v>
      </c>
      <c r="D547" s="85"/>
      <c r="E547" s="83" t="s">
        <v>1035</v>
      </c>
      <c r="F547" s="49" t="s">
        <v>1036</v>
      </c>
      <c r="G547" s="85"/>
      <c r="H547" s="85"/>
      <c r="I547" s="85"/>
      <c r="J547" s="85"/>
      <c r="K547" s="85"/>
      <c r="L547" s="85"/>
      <c r="M547" s="81"/>
      <c r="N547" s="81"/>
      <c r="O547" s="96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  <c r="AC547" s="81"/>
      <c r="AD547" s="81"/>
      <c r="AE547" s="81"/>
      <c r="AF547" s="81"/>
      <c r="AG547" s="81"/>
      <c r="AH547" s="81"/>
      <c r="AI547" s="81"/>
      <c r="AJ547" s="81"/>
      <c r="AK547" s="81"/>
      <c r="AL547" s="81"/>
      <c r="AM547" s="81"/>
    </row>
    <row collapsed="false" customFormat="false" customHeight="true" hidden="false" ht="16.2" outlineLevel="0" r="548">
      <c r="A548" s="80"/>
      <c r="B548" s="81" t="s">
        <v>443</v>
      </c>
      <c r="C548" s="85"/>
      <c r="D548" s="85" t="s">
        <v>1054</v>
      </c>
      <c r="E548" s="83" t="s">
        <v>1037</v>
      </c>
      <c r="F548" s="49" t="s">
        <v>1036</v>
      </c>
      <c r="G548" s="85" t="s">
        <v>1042</v>
      </c>
      <c r="H548" s="85" t="n">
        <v>8</v>
      </c>
      <c r="I548" s="85" t="s">
        <v>1039</v>
      </c>
      <c r="J548" s="85" t="n">
        <v>2</v>
      </c>
      <c r="K548" s="85" t="s">
        <v>1041</v>
      </c>
      <c r="L548" s="85" t="s">
        <v>1041</v>
      </c>
      <c r="M548" s="81" t="n">
        <v>2580</v>
      </c>
      <c r="N548" s="81"/>
      <c r="O548" s="96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  <c r="AC548" s="81"/>
      <c r="AD548" s="81"/>
      <c r="AE548" s="81"/>
      <c r="AF548" s="81"/>
      <c r="AG548" s="81"/>
      <c r="AH548" s="81"/>
      <c r="AI548" s="81"/>
      <c r="AJ548" s="81"/>
      <c r="AK548" s="81"/>
      <c r="AL548" s="81"/>
      <c r="AM548" s="81"/>
    </row>
    <row collapsed="false" customFormat="false" customHeight="true" hidden="false" ht="16.2" outlineLevel="0" r="549">
      <c r="A549" s="80" t="n">
        <v>288</v>
      </c>
      <c r="B549" s="81"/>
      <c r="C549" s="82" t="s">
        <v>1033</v>
      </c>
      <c r="D549" s="85"/>
      <c r="E549" s="83" t="s">
        <v>1035</v>
      </c>
      <c r="F549" s="49" t="s">
        <v>1036</v>
      </c>
      <c r="G549" s="85"/>
      <c r="H549" s="85"/>
      <c r="I549" s="85"/>
      <c r="J549" s="85"/>
      <c r="K549" s="85"/>
      <c r="L549" s="85"/>
      <c r="M549" s="81"/>
      <c r="N549" s="81"/>
      <c r="O549" s="96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  <c r="AC549" s="81"/>
      <c r="AD549" s="81"/>
      <c r="AE549" s="81"/>
      <c r="AF549" s="81"/>
      <c r="AG549" s="81"/>
      <c r="AH549" s="81"/>
      <c r="AI549" s="81"/>
      <c r="AJ549" s="81"/>
      <c r="AK549" s="81"/>
      <c r="AL549" s="81"/>
      <c r="AM549" s="81"/>
    </row>
    <row collapsed="false" customFormat="false" customHeight="true" hidden="false" ht="16.2" outlineLevel="0" r="550">
      <c r="A550" s="80"/>
      <c r="B550" s="81" t="s">
        <v>444</v>
      </c>
      <c r="C550" s="85"/>
      <c r="D550" s="85" t="s">
        <v>1054</v>
      </c>
      <c r="E550" s="83" t="s">
        <v>1037</v>
      </c>
      <c r="F550" s="49" t="s">
        <v>1036</v>
      </c>
      <c r="G550" s="85" t="s">
        <v>1039</v>
      </c>
      <c r="H550" s="85" t="n">
        <v>12</v>
      </c>
      <c r="I550" s="85" t="s">
        <v>1039</v>
      </c>
      <c r="J550" s="85" t="n">
        <v>2</v>
      </c>
      <c r="K550" s="85" t="s">
        <v>1041</v>
      </c>
      <c r="L550" s="85" t="s">
        <v>1041</v>
      </c>
      <c r="M550" s="81" t="n">
        <v>6432</v>
      </c>
      <c r="N550" s="81"/>
      <c r="O550" s="96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  <c r="AC550" s="81"/>
      <c r="AD550" s="81"/>
      <c r="AE550" s="81"/>
      <c r="AF550" s="81"/>
      <c r="AG550" s="81"/>
      <c r="AH550" s="81"/>
      <c r="AI550" s="81"/>
      <c r="AJ550" s="81"/>
      <c r="AK550" s="81"/>
      <c r="AL550" s="81"/>
      <c r="AM550" s="81"/>
    </row>
    <row collapsed="false" customFormat="false" customHeight="true" hidden="false" ht="16.2" outlineLevel="0" r="551">
      <c r="A551" s="80" t="n">
        <v>289</v>
      </c>
      <c r="B551" s="81"/>
      <c r="C551" s="82" t="s">
        <v>1033</v>
      </c>
      <c r="D551" s="85"/>
      <c r="E551" s="83" t="s">
        <v>1035</v>
      </c>
      <c r="F551" s="49" t="s">
        <v>1036</v>
      </c>
      <c r="G551" s="85"/>
      <c r="H551" s="85"/>
      <c r="I551" s="85"/>
      <c r="J551" s="85"/>
      <c r="K551" s="85"/>
      <c r="L551" s="85"/>
      <c r="M551" s="81"/>
      <c r="N551" s="81"/>
      <c r="O551" s="96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  <c r="AC551" s="81"/>
      <c r="AD551" s="81"/>
      <c r="AE551" s="81"/>
      <c r="AF551" s="81"/>
      <c r="AG551" s="81"/>
      <c r="AH551" s="81"/>
      <c r="AI551" s="81"/>
      <c r="AJ551" s="81"/>
      <c r="AK551" s="81"/>
      <c r="AL551" s="81"/>
      <c r="AM551" s="81"/>
    </row>
    <row collapsed="false" customFormat="false" customHeight="true" hidden="false" ht="16.2" outlineLevel="0" r="552">
      <c r="A552" s="80"/>
      <c r="B552" s="81" t="s">
        <v>445</v>
      </c>
      <c r="C552" s="85"/>
      <c r="D552" s="85" t="s">
        <v>1054</v>
      </c>
      <c r="E552" s="83" t="s">
        <v>1037</v>
      </c>
      <c r="F552" s="49" t="s">
        <v>1036</v>
      </c>
      <c r="G552" s="85" t="s">
        <v>1039</v>
      </c>
      <c r="H552" s="85" t="n">
        <v>12</v>
      </c>
      <c r="I552" s="85" t="s">
        <v>1039</v>
      </c>
      <c r="J552" s="85" t="n">
        <v>3</v>
      </c>
      <c r="K552" s="85" t="s">
        <v>1041</v>
      </c>
      <c r="L552" s="85" t="s">
        <v>1041</v>
      </c>
      <c r="M552" s="81" t="n">
        <v>1596</v>
      </c>
      <c r="N552" s="81"/>
      <c r="O552" s="96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  <c r="AC552" s="81"/>
      <c r="AD552" s="81"/>
      <c r="AE552" s="81"/>
      <c r="AF552" s="81"/>
      <c r="AG552" s="81"/>
      <c r="AH552" s="81"/>
      <c r="AI552" s="81"/>
      <c r="AJ552" s="81"/>
      <c r="AK552" s="81"/>
      <c r="AL552" s="81"/>
      <c r="AM552" s="81"/>
    </row>
    <row collapsed="false" customFormat="false" customHeight="true" hidden="false" ht="16.2" outlineLevel="0" r="553">
      <c r="A553" s="80" t="n">
        <v>290</v>
      </c>
      <c r="B553" s="81"/>
      <c r="C553" s="82" t="s">
        <v>1033</v>
      </c>
      <c r="D553" s="85"/>
      <c r="E553" s="83" t="s">
        <v>1035</v>
      </c>
      <c r="F553" s="49" t="s">
        <v>1036</v>
      </c>
      <c r="G553" s="85"/>
      <c r="H553" s="85"/>
      <c r="I553" s="85"/>
      <c r="J553" s="85"/>
      <c r="K553" s="85"/>
      <c r="L553" s="85"/>
      <c r="M553" s="81"/>
      <c r="N553" s="81"/>
      <c r="O553" s="96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  <c r="AC553" s="81"/>
      <c r="AD553" s="81"/>
      <c r="AE553" s="81"/>
      <c r="AF553" s="81"/>
      <c r="AG553" s="81"/>
      <c r="AH553" s="81"/>
      <c r="AI553" s="81"/>
      <c r="AJ553" s="81"/>
      <c r="AK553" s="81"/>
      <c r="AL553" s="81"/>
      <c r="AM553" s="81"/>
    </row>
    <row collapsed="false" customFormat="false" customHeight="true" hidden="false" ht="16.2" outlineLevel="0" r="554">
      <c r="A554" s="80"/>
      <c r="B554" s="81" t="s">
        <v>446</v>
      </c>
      <c r="C554" s="85"/>
      <c r="D554" s="85" t="s">
        <v>1054</v>
      </c>
      <c r="E554" s="83" t="s">
        <v>1037</v>
      </c>
      <c r="F554" s="49" t="s">
        <v>1036</v>
      </c>
      <c r="G554" s="85" t="s">
        <v>1042</v>
      </c>
      <c r="H554" s="85" t="n">
        <v>8</v>
      </c>
      <c r="I554" s="85" t="s">
        <v>1039</v>
      </c>
      <c r="J554" s="85" t="n">
        <v>2</v>
      </c>
      <c r="K554" s="85" t="s">
        <v>1041</v>
      </c>
      <c r="L554" s="85" t="s">
        <v>1041</v>
      </c>
      <c r="M554" s="81" t="n">
        <v>3300</v>
      </c>
      <c r="N554" s="81"/>
      <c r="O554" s="96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  <c r="AC554" s="81"/>
      <c r="AD554" s="81"/>
      <c r="AE554" s="81"/>
      <c r="AF554" s="81"/>
      <c r="AG554" s="81"/>
      <c r="AH554" s="81"/>
      <c r="AI554" s="81"/>
      <c r="AJ554" s="81"/>
      <c r="AK554" s="81"/>
      <c r="AL554" s="81"/>
      <c r="AM554" s="81"/>
    </row>
    <row collapsed="false" customFormat="false" customHeight="true" hidden="false" ht="16.2" outlineLevel="0" r="555">
      <c r="A555" s="80" t="n">
        <v>291</v>
      </c>
      <c r="B555" s="81"/>
      <c r="C555" s="82" t="s">
        <v>1033</v>
      </c>
      <c r="D555" s="85"/>
      <c r="E555" s="83" t="s">
        <v>1035</v>
      </c>
      <c r="F555" s="49" t="s">
        <v>1036</v>
      </c>
      <c r="G555" s="85"/>
      <c r="H555" s="85"/>
      <c r="I555" s="85"/>
      <c r="J555" s="85"/>
      <c r="K555" s="85"/>
      <c r="L555" s="85"/>
      <c r="M555" s="81"/>
      <c r="N555" s="81"/>
      <c r="O555" s="96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  <c r="AC555" s="81"/>
      <c r="AD555" s="81"/>
      <c r="AE555" s="81"/>
      <c r="AF555" s="81"/>
      <c r="AG555" s="81"/>
      <c r="AH555" s="81"/>
      <c r="AI555" s="81"/>
      <c r="AJ555" s="81"/>
      <c r="AK555" s="81"/>
      <c r="AL555" s="81"/>
      <c r="AM555" s="81"/>
    </row>
    <row collapsed="false" customFormat="false" customHeight="true" hidden="false" ht="16.2" outlineLevel="0" r="556">
      <c r="A556" s="80"/>
      <c r="B556" s="81" t="s">
        <v>447</v>
      </c>
      <c r="C556" s="85"/>
      <c r="D556" s="85" t="s">
        <v>1054</v>
      </c>
      <c r="E556" s="83" t="s">
        <v>1037</v>
      </c>
      <c r="F556" s="49" t="s">
        <v>1036</v>
      </c>
      <c r="G556" s="85" t="s">
        <v>1039</v>
      </c>
      <c r="H556" s="85" t="n">
        <v>12</v>
      </c>
      <c r="I556" s="85" t="s">
        <v>1039</v>
      </c>
      <c r="J556" s="85" t="n">
        <v>3</v>
      </c>
      <c r="K556" s="85" t="s">
        <v>1041</v>
      </c>
      <c r="L556" s="85" t="s">
        <v>1041</v>
      </c>
      <c r="M556" s="81" t="n">
        <v>1584</v>
      </c>
      <c r="N556" s="81"/>
      <c r="O556" s="96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  <c r="AC556" s="81"/>
      <c r="AD556" s="81"/>
      <c r="AE556" s="81"/>
      <c r="AF556" s="81"/>
      <c r="AG556" s="81"/>
      <c r="AH556" s="81"/>
      <c r="AI556" s="81"/>
      <c r="AJ556" s="81"/>
      <c r="AK556" s="81"/>
      <c r="AL556" s="81"/>
      <c r="AM556" s="81"/>
    </row>
    <row collapsed="false" customFormat="false" customHeight="true" hidden="false" ht="16.2" outlineLevel="0" r="557">
      <c r="A557" s="80" t="n">
        <v>292</v>
      </c>
      <c r="B557" s="81"/>
      <c r="C557" s="82" t="s">
        <v>1033</v>
      </c>
      <c r="D557" s="85"/>
      <c r="E557" s="83" t="s">
        <v>1035</v>
      </c>
      <c r="F557" s="49" t="s">
        <v>1036</v>
      </c>
      <c r="G557" s="85"/>
      <c r="H557" s="85"/>
      <c r="I557" s="85"/>
      <c r="J557" s="85"/>
      <c r="K557" s="85"/>
      <c r="L557" s="85"/>
      <c r="M557" s="81"/>
      <c r="N557" s="81"/>
      <c r="O557" s="96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  <c r="AD557" s="81"/>
      <c r="AE557" s="81"/>
      <c r="AF557" s="81"/>
      <c r="AG557" s="81"/>
      <c r="AH557" s="81"/>
      <c r="AI557" s="81"/>
      <c r="AJ557" s="81"/>
      <c r="AK557" s="81"/>
      <c r="AL557" s="81"/>
      <c r="AM557" s="81"/>
    </row>
    <row collapsed="false" customFormat="false" customHeight="true" hidden="false" ht="16.2" outlineLevel="0" r="558">
      <c r="A558" s="80"/>
      <c r="B558" s="81" t="s">
        <v>448</v>
      </c>
      <c r="C558" s="85"/>
      <c r="D558" s="85" t="s">
        <v>1054</v>
      </c>
      <c r="E558" s="83" t="s">
        <v>1037</v>
      </c>
      <c r="F558" s="49" t="s">
        <v>1036</v>
      </c>
      <c r="G558" s="85" t="s">
        <v>1039</v>
      </c>
      <c r="H558" s="85" t="n">
        <v>12</v>
      </c>
      <c r="I558" s="85" t="s">
        <v>1039</v>
      </c>
      <c r="J558" s="85" t="n">
        <v>3</v>
      </c>
      <c r="K558" s="85" t="s">
        <v>1041</v>
      </c>
      <c r="L558" s="85" t="s">
        <v>1041</v>
      </c>
      <c r="M558" s="81" t="n">
        <v>864</v>
      </c>
      <c r="N558" s="81"/>
      <c r="O558" s="96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  <c r="AC558" s="81"/>
      <c r="AD558" s="81"/>
      <c r="AE558" s="81"/>
      <c r="AF558" s="81"/>
      <c r="AG558" s="81"/>
      <c r="AH558" s="81"/>
      <c r="AI558" s="81"/>
      <c r="AJ558" s="81"/>
      <c r="AK558" s="81"/>
      <c r="AL558" s="81"/>
      <c r="AM558" s="81"/>
    </row>
    <row collapsed="false" customFormat="false" customHeight="true" hidden="false" ht="16.2" outlineLevel="0" r="559">
      <c r="A559" s="80" t="n">
        <v>293</v>
      </c>
      <c r="B559" s="81"/>
      <c r="C559" s="82" t="s">
        <v>1033</v>
      </c>
      <c r="D559" s="85"/>
      <c r="E559" s="83" t="s">
        <v>1035</v>
      </c>
      <c r="F559" s="49" t="s">
        <v>1036</v>
      </c>
      <c r="G559" s="85"/>
      <c r="H559" s="85"/>
      <c r="I559" s="85"/>
      <c r="J559" s="85"/>
      <c r="K559" s="85"/>
      <c r="L559" s="85"/>
      <c r="M559" s="81"/>
      <c r="N559" s="81"/>
      <c r="O559" s="96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  <c r="AC559" s="81"/>
      <c r="AD559" s="81"/>
      <c r="AE559" s="81"/>
      <c r="AF559" s="81"/>
      <c r="AG559" s="81"/>
      <c r="AH559" s="81"/>
      <c r="AI559" s="81"/>
      <c r="AJ559" s="81"/>
      <c r="AK559" s="81"/>
      <c r="AL559" s="81"/>
      <c r="AM559" s="81"/>
    </row>
    <row collapsed="false" customFormat="false" customHeight="true" hidden="false" ht="16.2" outlineLevel="0" r="560">
      <c r="A560" s="80"/>
      <c r="B560" s="81" t="s">
        <v>449</v>
      </c>
      <c r="C560" s="85"/>
      <c r="D560" s="85" t="s">
        <v>1054</v>
      </c>
      <c r="E560" s="83" t="s">
        <v>1037</v>
      </c>
      <c r="F560" s="49" t="s">
        <v>1036</v>
      </c>
      <c r="G560" s="85" t="s">
        <v>1042</v>
      </c>
      <c r="H560" s="85" t="n">
        <v>12</v>
      </c>
      <c r="I560" s="85" t="s">
        <v>1039</v>
      </c>
      <c r="J560" s="85" t="n">
        <v>3</v>
      </c>
      <c r="K560" s="85" t="s">
        <v>1041</v>
      </c>
      <c r="L560" s="85" t="s">
        <v>1041</v>
      </c>
      <c r="M560" s="81" t="n">
        <v>2028</v>
      </c>
      <c r="N560" s="81"/>
      <c r="O560" s="96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  <c r="AC560" s="81"/>
      <c r="AD560" s="81"/>
      <c r="AE560" s="81"/>
      <c r="AF560" s="81"/>
      <c r="AG560" s="81"/>
      <c r="AH560" s="81"/>
      <c r="AI560" s="81"/>
      <c r="AJ560" s="81"/>
      <c r="AK560" s="81"/>
      <c r="AL560" s="81"/>
      <c r="AM560" s="81"/>
    </row>
    <row collapsed="false" customFormat="false" customHeight="true" hidden="false" ht="16.2" outlineLevel="0" r="561">
      <c r="A561" s="80" t="n">
        <v>294</v>
      </c>
      <c r="B561" s="81"/>
      <c r="C561" s="82" t="s">
        <v>1033</v>
      </c>
      <c r="D561" s="85"/>
      <c r="E561" s="83" t="s">
        <v>1035</v>
      </c>
      <c r="F561" s="49" t="s">
        <v>1036</v>
      </c>
      <c r="G561" s="85"/>
      <c r="H561" s="85"/>
      <c r="I561" s="85"/>
      <c r="J561" s="85"/>
      <c r="K561" s="85"/>
      <c r="L561" s="85"/>
      <c r="M561" s="81" t="n">
        <v>13371</v>
      </c>
      <c r="N561" s="81"/>
      <c r="O561" s="96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  <c r="AC561" s="81"/>
      <c r="AD561" s="81"/>
      <c r="AE561" s="81"/>
      <c r="AF561" s="81"/>
      <c r="AG561" s="81"/>
      <c r="AH561" s="81"/>
      <c r="AI561" s="81"/>
      <c r="AJ561" s="81"/>
      <c r="AK561" s="81"/>
      <c r="AL561" s="81"/>
      <c r="AM561" s="81"/>
    </row>
    <row collapsed="false" customFormat="false" customHeight="true" hidden="false" ht="16.2" outlineLevel="0" r="562">
      <c r="A562" s="80"/>
      <c r="B562" s="81" t="s">
        <v>450</v>
      </c>
      <c r="C562" s="85"/>
      <c r="D562" s="85" t="s">
        <v>1054</v>
      </c>
      <c r="E562" s="83" t="s">
        <v>1037</v>
      </c>
      <c r="F562" s="49" t="s">
        <v>1036</v>
      </c>
      <c r="G562" s="85" t="s">
        <v>1039</v>
      </c>
      <c r="H562" s="85" t="n">
        <v>21</v>
      </c>
      <c r="I562" s="85" t="s">
        <v>1039</v>
      </c>
      <c r="J562" s="85" t="n">
        <v>1</v>
      </c>
      <c r="K562" s="85" t="s">
        <v>1041</v>
      </c>
      <c r="L562" s="85" t="s">
        <v>1041</v>
      </c>
      <c r="M562" s="81" t="n">
        <v>13371</v>
      </c>
      <c r="N562" s="81"/>
      <c r="O562" s="96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  <c r="AC562" s="81"/>
      <c r="AD562" s="81"/>
      <c r="AE562" s="81"/>
      <c r="AF562" s="81"/>
      <c r="AG562" s="81"/>
      <c r="AH562" s="81"/>
      <c r="AI562" s="81"/>
      <c r="AJ562" s="81"/>
      <c r="AK562" s="81"/>
      <c r="AL562" s="81"/>
      <c r="AM562" s="81"/>
    </row>
    <row collapsed="false" customFormat="false" customHeight="true" hidden="false" ht="16.2" outlineLevel="0" r="563">
      <c r="A563" s="80" t="n">
        <v>295</v>
      </c>
      <c r="B563" s="81"/>
      <c r="C563" s="82" t="s">
        <v>1033</v>
      </c>
      <c r="D563" s="85"/>
      <c r="E563" s="83" t="s">
        <v>1035</v>
      </c>
      <c r="F563" s="49" t="s">
        <v>1036</v>
      </c>
      <c r="G563" s="85"/>
      <c r="H563" s="85"/>
      <c r="I563" s="85"/>
      <c r="J563" s="85"/>
      <c r="K563" s="85"/>
      <c r="L563" s="85"/>
      <c r="M563" s="81"/>
      <c r="N563" s="81"/>
      <c r="O563" s="96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  <c r="AC563" s="81"/>
      <c r="AD563" s="81"/>
      <c r="AE563" s="81"/>
      <c r="AF563" s="81"/>
      <c r="AG563" s="81"/>
      <c r="AH563" s="81"/>
      <c r="AI563" s="81"/>
      <c r="AJ563" s="81"/>
      <c r="AK563" s="81"/>
      <c r="AL563" s="81"/>
      <c r="AM563" s="81"/>
    </row>
    <row collapsed="false" customFormat="false" customHeight="true" hidden="false" ht="16.2" outlineLevel="0" r="564">
      <c r="A564" s="80"/>
      <c r="B564" s="81" t="s">
        <v>452</v>
      </c>
      <c r="C564" s="85"/>
      <c r="D564" s="85" t="s">
        <v>1054</v>
      </c>
      <c r="E564" s="83" t="s">
        <v>1037</v>
      </c>
      <c r="F564" s="49" t="s">
        <v>1036</v>
      </c>
      <c r="G564" s="85" t="s">
        <v>1039</v>
      </c>
      <c r="H564" s="85" t="n">
        <v>30</v>
      </c>
      <c r="I564" s="85" t="s">
        <v>1039</v>
      </c>
      <c r="J564" s="85" t="n">
        <v>5</v>
      </c>
      <c r="K564" s="85" t="s">
        <v>1041</v>
      </c>
      <c r="L564" s="85" t="s">
        <v>1041</v>
      </c>
      <c r="M564" s="81" t="n">
        <v>2700</v>
      </c>
      <c r="N564" s="81"/>
      <c r="O564" s="96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  <c r="AC564" s="81"/>
      <c r="AD564" s="81"/>
      <c r="AE564" s="81"/>
      <c r="AF564" s="81"/>
      <c r="AG564" s="81"/>
      <c r="AH564" s="81"/>
      <c r="AI564" s="81"/>
      <c r="AJ564" s="81"/>
      <c r="AK564" s="81"/>
      <c r="AL564" s="81"/>
      <c r="AM564" s="81"/>
    </row>
    <row collapsed="false" customFormat="false" customHeight="true" hidden="false" ht="16.2" outlineLevel="0" r="565">
      <c r="A565" s="80" t="n">
        <v>296</v>
      </c>
      <c r="B565" s="81"/>
      <c r="C565" s="82" t="s">
        <v>1033</v>
      </c>
      <c r="D565" s="85"/>
      <c r="E565" s="83" t="s">
        <v>1035</v>
      </c>
      <c r="F565" s="49" t="s">
        <v>1036</v>
      </c>
      <c r="G565" s="85"/>
      <c r="H565" s="85"/>
      <c r="I565" s="85"/>
      <c r="J565" s="85"/>
      <c r="K565" s="85"/>
      <c r="L565" s="85"/>
      <c r="M565" s="81"/>
      <c r="N565" s="81"/>
      <c r="O565" s="96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  <c r="AC565" s="81"/>
      <c r="AD565" s="81"/>
      <c r="AE565" s="81"/>
      <c r="AF565" s="81"/>
      <c r="AG565" s="81"/>
      <c r="AH565" s="81"/>
      <c r="AI565" s="81"/>
      <c r="AJ565" s="81"/>
      <c r="AK565" s="81"/>
      <c r="AL565" s="81"/>
      <c r="AM565" s="81"/>
    </row>
    <row collapsed="false" customFormat="false" customHeight="true" hidden="false" ht="16.2" outlineLevel="0" r="566">
      <c r="A566" s="80"/>
      <c r="B566" s="81" t="s">
        <v>453</v>
      </c>
      <c r="C566" s="85"/>
      <c r="D566" s="85" t="s">
        <v>1054</v>
      </c>
      <c r="E566" s="83" t="s">
        <v>1037</v>
      </c>
      <c r="F566" s="49" t="s">
        <v>1036</v>
      </c>
      <c r="G566" s="85" t="s">
        <v>1039</v>
      </c>
      <c r="H566" s="85" t="n">
        <v>30</v>
      </c>
      <c r="I566" s="85" t="s">
        <v>1039</v>
      </c>
      <c r="J566" s="85" t="n">
        <v>5</v>
      </c>
      <c r="K566" s="85" t="s">
        <v>1041</v>
      </c>
      <c r="L566" s="85" t="s">
        <v>1041</v>
      </c>
      <c r="M566" s="81" t="n">
        <v>9366</v>
      </c>
      <c r="N566" s="81"/>
      <c r="O566" s="96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  <c r="AC566" s="81"/>
      <c r="AD566" s="81"/>
      <c r="AE566" s="81"/>
      <c r="AF566" s="81"/>
      <c r="AG566" s="81"/>
      <c r="AH566" s="81"/>
      <c r="AI566" s="81"/>
      <c r="AJ566" s="81"/>
      <c r="AK566" s="81"/>
      <c r="AL566" s="81"/>
      <c r="AM566" s="81"/>
    </row>
    <row collapsed="false" customFormat="false" customHeight="true" hidden="false" ht="16.2" outlineLevel="0" r="567">
      <c r="A567" s="80" t="n">
        <v>297</v>
      </c>
      <c r="B567" s="81"/>
      <c r="C567" s="82" t="s">
        <v>1033</v>
      </c>
      <c r="D567" s="85"/>
      <c r="E567" s="83" t="s">
        <v>1035</v>
      </c>
      <c r="F567" s="49" t="s">
        <v>1036</v>
      </c>
      <c r="G567" s="85"/>
      <c r="H567" s="85"/>
      <c r="I567" s="85"/>
      <c r="J567" s="85"/>
      <c r="K567" s="85"/>
      <c r="L567" s="85"/>
      <c r="M567" s="81"/>
      <c r="N567" s="81"/>
      <c r="O567" s="96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  <c r="AC567" s="81"/>
      <c r="AD567" s="81"/>
      <c r="AE567" s="81"/>
      <c r="AF567" s="81"/>
      <c r="AG567" s="81"/>
      <c r="AH567" s="81"/>
      <c r="AI567" s="81"/>
      <c r="AJ567" s="81"/>
      <c r="AK567" s="81"/>
      <c r="AL567" s="81"/>
      <c r="AM567" s="81"/>
    </row>
    <row collapsed="false" customFormat="false" customHeight="true" hidden="false" ht="16.2" outlineLevel="0" r="568">
      <c r="A568" s="80"/>
      <c r="B568" s="81" t="s">
        <v>454</v>
      </c>
      <c r="C568" s="85"/>
      <c r="D568" s="85" t="s">
        <v>1054</v>
      </c>
      <c r="E568" s="83" t="s">
        <v>1037</v>
      </c>
      <c r="F568" s="49" t="s">
        <v>1036</v>
      </c>
      <c r="G568" s="85" t="s">
        <v>1042</v>
      </c>
      <c r="H568" s="85" t="n">
        <v>30</v>
      </c>
      <c r="I568" s="85" t="s">
        <v>1039</v>
      </c>
      <c r="J568" s="85" t="n">
        <v>5</v>
      </c>
      <c r="K568" s="85" t="s">
        <v>1041</v>
      </c>
      <c r="L568" s="85" t="s">
        <v>1041</v>
      </c>
      <c r="M568" s="81" t="n">
        <v>12504</v>
      </c>
      <c r="N568" s="81"/>
      <c r="O568" s="96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  <c r="AC568" s="81"/>
      <c r="AD568" s="81"/>
      <c r="AE568" s="81"/>
      <c r="AF568" s="81"/>
      <c r="AG568" s="81"/>
      <c r="AH568" s="81"/>
      <c r="AI568" s="81"/>
      <c r="AJ568" s="81"/>
      <c r="AK568" s="81"/>
      <c r="AL568" s="81"/>
      <c r="AM568" s="81"/>
    </row>
    <row collapsed="false" customFormat="false" customHeight="true" hidden="false" ht="16.2" outlineLevel="0" r="569">
      <c r="A569" s="80" t="n">
        <v>298</v>
      </c>
      <c r="B569" s="81"/>
      <c r="C569" s="82" t="s">
        <v>1033</v>
      </c>
      <c r="D569" s="85"/>
      <c r="E569" s="83" t="s">
        <v>1035</v>
      </c>
      <c r="F569" s="49" t="s">
        <v>1036</v>
      </c>
      <c r="G569" s="85"/>
      <c r="H569" s="85"/>
      <c r="I569" s="85"/>
      <c r="J569" s="85"/>
      <c r="K569" s="85"/>
      <c r="L569" s="85"/>
      <c r="M569" s="81" t="n">
        <v>13800</v>
      </c>
      <c r="N569" s="81"/>
      <c r="O569" s="96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  <c r="AC569" s="81"/>
      <c r="AD569" s="81"/>
      <c r="AE569" s="81"/>
      <c r="AF569" s="81"/>
      <c r="AG569" s="81"/>
      <c r="AH569" s="81"/>
      <c r="AI569" s="81"/>
      <c r="AJ569" s="81"/>
      <c r="AK569" s="81"/>
      <c r="AL569" s="81"/>
      <c r="AM569" s="81"/>
    </row>
    <row collapsed="false" customFormat="false" customHeight="true" hidden="false" ht="16.2" outlineLevel="0" r="570">
      <c r="A570" s="80"/>
      <c r="B570" s="81" t="s">
        <v>455</v>
      </c>
      <c r="C570" s="85"/>
      <c r="D570" s="85" t="s">
        <v>1054</v>
      </c>
      <c r="E570" s="83" t="s">
        <v>1037</v>
      </c>
      <c r="F570" s="49" t="s">
        <v>1036</v>
      </c>
      <c r="G570" s="85" t="s">
        <v>1042</v>
      </c>
      <c r="H570" s="85" t="n">
        <v>30</v>
      </c>
      <c r="I570" s="85" t="s">
        <v>1039</v>
      </c>
      <c r="J570" s="85" t="n">
        <v>5</v>
      </c>
      <c r="K570" s="85" t="s">
        <v>1041</v>
      </c>
      <c r="L570" s="85" t="s">
        <v>1041</v>
      </c>
      <c r="M570" s="81" t="n">
        <v>13800</v>
      </c>
      <c r="N570" s="81"/>
      <c r="O570" s="96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  <c r="AC570" s="81"/>
      <c r="AD570" s="81"/>
      <c r="AE570" s="81"/>
      <c r="AF570" s="81"/>
      <c r="AG570" s="81"/>
      <c r="AH570" s="81"/>
      <c r="AI570" s="81"/>
      <c r="AJ570" s="81"/>
      <c r="AK570" s="81"/>
      <c r="AL570" s="81"/>
      <c r="AM570" s="81"/>
    </row>
    <row collapsed="false" customFormat="false" customHeight="true" hidden="false" ht="16.2" outlineLevel="0" r="571">
      <c r="A571" s="80" t="n">
        <v>299</v>
      </c>
      <c r="B571" s="81"/>
      <c r="C571" s="82" t="s">
        <v>1033</v>
      </c>
      <c r="D571" s="85"/>
      <c r="E571" s="83" t="s">
        <v>1035</v>
      </c>
      <c r="F571" s="49" t="s">
        <v>1036</v>
      </c>
      <c r="G571" s="85"/>
      <c r="H571" s="85"/>
      <c r="I571" s="85"/>
      <c r="J571" s="85"/>
      <c r="K571" s="85"/>
      <c r="L571" s="85"/>
      <c r="M571" s="81"/>
      <c r="N571" s="81"/>
      <c r="O571" s="96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  <c r="AC571" s="81"/>
      <c r="AD571" s="81"/>
      <c r="AE571" s="81"/>
      <c r="AF571" s="81"/>
      <c r="AG571" s="81"/>
      <c r="AH571" s="81"/>
      <c r="AI571" s="81"/>
      <c r="AJ571" s="81"/>
      <c r="AK571" s="81"/>
      <c r="AL571" s="81"/>
      <c r="AM571" s="81"/>
    </row>
    <row collapsed="false" customFormat="false" customHeight="true" hidden="false" ht="16.2" outlineLevel="0" r="572">
      <c r="A572" s="80"/>
      <c r="B572" s="81" t="s">
        <v>456</v>
      </c>
      <c r="C572" s="85"/>
      <c r="D572" s="85" t="s">
        <v>1054</v>
      </c>
      <c r="E572" s="83" t="s">
        <v>1037</v>
      </c>
      <c r="F572" s="49" t="s">
        <v>1036</v>
      </c>
      <c r="G572" s="85" t="s">
        <v>1039</v>
      </c>
      <c r="H572" s="85" t="n">
        <v>30</v>
      </c>
      <c r="I572" s="85" t="s">
        <v>1039</v>
      </c>
      <c r="J572" s="85" t="n">
        <v>1</v>
      </c>
      <c r="K572" s="85" t="s">
        <v>1041</v>
      </c>
      <c r="L572" s="85" t="s">
        <v>1041</v>
      </c>
      <c r="M572" s="81" t="n">
        <v>6552</v>
      </c>
      <c r="N572" s="81"/>
      <c r="O572" s="96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  <c r="AC572" s="81"/>
      <c r="AD572" s="81"/>
      <c r="AE572" s="81"/>
      <c r="AF572" s="81"/>
      <c r="AG572" s="81"/>
      <c r="AH572" s="81"/>
      <c r="AI572" s="81"/>
      <c r="AJ572" s="81"/>
      <c r="AK572" s="81"/>
      <c r="AL572" s="81"/>
      <c r="AM572" s="81"/>
    </row>
    <row collapsed="false" customFormat="false" customHeight="true" hidden="false" ht="16.2" outlineLevel="0" r="573">
      <c r="A573" s="80" t="n">
        <v>300</v>
      </c>
      <c r="B573" s="81"/>
      <c r="C573" s="82" t="s">
        <v>1033</v>
      </c>
      <c r="D573" s="85"/>
      <c r="E573" s="83" t="s">
        <v>1035</v>
      </c>
      <c r="F573" s="49" t="s">
        <v>1036</v>
      </c>
      <c r="G573" s="85"/>
      <c r="H573" s="85"/>
      <c r="I573" s="85"/>
      <c r="J573" s="85"/>
      <c r="K573" s="85"/>
      <c r="L573" s="85"/>
      <c r="M573" s="81"/>
      <c r="N573" s="81"/>
      <c r="O573" s="96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  <c r="AC573" s="81"/>
      <c r="AD573" s="81"/>
      <c r="AE573" s="81"/>
      <c r="AF573" s="81"/>
      <c r="AG573" s="81"/>
      <c r="AH573" s="81"/>
      <c r="AI573" s="81"/>
      <c r="AJ573" s="81"/>
      <c r="AK573" s="81"/>
      <c r="AL573" s="81"/>
      <c r="AM573" s="81"/>
    </row>
    <row collapsed="false" customFormat="false" customHeight="true" hidden="false" ht="16.2" outlineLevel="0" r="574">
      <c r="A574" s="80"/>
      <c r="B574" s="81" t="s">
        <v>457</v>
      </c>
      <c r="C574" s="85"/>
      <c r="D574" s="85" t="s">
        <v>1054</v>
      </c>
      <c r="E574" s="83" t="s">
        <v>1037</v>
      </c>
      <c r="F574" s="49" t="s">
        <v>1036</v>
      </c>
      <c r="G574" s="85" t="s">
        <v>1039</v>
      </c>
      <c r="H574" s="85" t="n">
        <v>31</v>
      </c>
      <c r="I574" s="85" t="s">
        <v>1039</v>
      </c>
      <c r="J574" s="85" t="n">
        <v>4</v>
      </c>
      <c r="K574" s="85" t="s">
        <v>1041</v>
      </c>
      <c r="L574" s="85" t="s">
        <v>1041</v>
      </c>
      <c r="M574" s="81" t="n">
        <v>28644</v>
      </c>
      <c r="N574" s="81"/>
      <c r="O574" s="96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  <c r="AC574" s="81"/>
      <c r="AD574" s="81"/>
      <c r="AE574" s="81"/>
      <c r="AF574" s="81"/>
      <c r="AG574" s="81"/>
      <c r="AH574" s="81"/>
      <c r="AI574" s="81"/>
      <c r="AJ574" s="81"/>
      <c r="AK574" s="81"/>
      <c r="AL574" s="81"/>
      <c r="AM574" s="81"/>
    </row>
    <row collapsed="false" customFormat="false" customHeight="true" hidden="false" ht="16.2" outlineLevel="0" r="575">
      <c r="A575" s="80" t="n">
        <v>301</v>
      </c>
      <c r="B575" s="81"/>
      <c r="C575" s="82" t="s">
        <v>1033</v>
      </c>
      <c r="D575" s="85"/>
      <c r="E575" s="83" t="s">
        <v>1035</v>
      </c>
      <c r="F575" s="49" t="s">
        <v>1036</v>
      </c>
      <c r="G575" s="85"/>
      <c r="H575" s="85"/>
      <c r="I575" s="85"/>
      <c r="J575" s="85"/>
      <c r="K575" s="85"/>
      <c r="L575" s="85"/>
      <c r="M575" s="81"/>
      <c r="N575" s="81"/>
      <c r="O575" s="96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  <c r="AC575" s="81"/>
      <c r="AD575" s="81"/>
      <c r="AE575" s="81"/>
      <c r="AF575" s="81"/>
      <c r="AG575" s="81"/>
      <c r="AH575" s="81"/>
      <c r="AI575" s="81"/>
      <c r="AJ575" s="81"/>
      <c r="AK575" s="81"/>
      <c r="AL575" s="81"/>
      <c r="AM575" s="81"/>
    </row>
    <row collapsed="false" customFormat="false" customHeight="true" hidden="false" ht="16.2" outlineLevel="0" r="576">
      <c r="A576" s="80"/>
      <c r="B576" s="81" t="s">
        <v>458</v>
      </c>
      <c r="C576" s="85"/>
      <c r="D576" s="85" t="s">
        <v>1054</v>
      </c>
      <c r="E576" s="83" t="s">
        <v>1037</v>
      </c>
      <c r="F576" s="49" t="s">
        <v>1036</v>
      </c>
      <c r="G576" s="85"/>
      <c r="H576" s="85"/>
      <c r="I576" s="85"/>
      <c r="J576" s="85"/>
      <c r="K576" s="85"/>
      <c r="L576" s="85" t="s">
        <v>1063</v>
      </c>
      <c r="M576" s="81" t="n">
        <v>3498</v>
      </c>
      <c r="N576" s="81"/>
      <c r="O576" s="96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  <c r="AC576" s="81"/>
      <c r="AD576" s="81"/>
      <c r="AE576" s="81"/>
      <c r="AF576" s="81"/>
      <c r="AG576" s="81"/>
      <c r="AH576" s="81"/>
      <c r="AI576" s="81"/>
      <c r="AJ576" s="81"/>
      <c r="AK576" s="81"/>
      <c r="AL576" s="81"/>
      <c r="AM576" s="81"/>
    </row>
    <row collapsed="false" customFormat="false" customHeight="true" hidden="false" ht="16.2" outlineLevel="0" r="577">
      <c r="A577" s="80" t="n">
        <v>302</v>
      </c>
      <c r="B577" s="81"/>
      <c r="C577" s="82" t="s">
        <v>1033</v>
      </c>
      <c r="D577" s="85"/>
      <c r="E577" s="83" t="s">
        <v>1035</v>
      </c>
      <c r="F577" s="49" t="s">
        <v>1036</v>
      </c>
      <c r="G577" s="85"/>
      <c r="H577" s="85"/>
      <c r="I577" s="85"/>
      <c r="J577" s="85"/>
      <c r="K577" s="85"/>
      <c r="L577" s="85"/>
      <c r="M577" s="81"/>
      <c r="N577" s="81"/>
      <c r="O577" s="96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  <c r="AC577" s="81"/>
      <c r="AD577" s="81"/>
      <c r="AE577" s="81"/>
      <c r="AF577" s="81"/>
      <c r="AG577" s="81"/>
      <c r="AH577" s="81"/>
      <c r="AI577" s="81"/>
      <c r="AJ577" s="81"/>
      <c r="AK577" s="81"/>
      <c r="AL577" s="81"/>
      <c r="AM577" s="81"/>
    </row>
    <row collapsed="false" customFormat="false" customHeight="true" hidden="false" ht="16.2" outlineLevel="0" r="578">
      <c r="A578" s="80"/>
      <c r="B578" s="81" t="s">
        <v>459</v>
      </c>
      <c r="C578" s="85"/>
      <c r="D578" s="85" t="s">
        <v>1054</v>
      </c>
      <c r="E578" s="83" t="s">
        <v>1037</v>
      </c>
      <c r="F578" s="49" t="s">
        <v>1036</v>
      </c>
      <c r="G578" s="85" t="s">
        <v>1039</v>
      </c>
      <c r="H578" s="85" t="n">
        <v>19</v>
      </c>
      <c r="I578" s="85" t="s">
        <v>1039</v>
      </c>
      <c r="J578" s="85" t="n">
        <v>1</v>
      </c>
      <c r="K578" s="85" t="s">
        <v>1041</v>
      </c>
      <c r="L578" s="85" t="s">
        <v>1041</v>
      </c>
      <c r="M578" s="81" t="n">
        <v>7302</v>
      </c>
      <c r="N578" s="81"/>
      <c r="O578" s="96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  <c r="AC578" s="81"/>
      <c r="AD578" s="81"/>
      <c r="AE578" s="81"/>
      <c r="AF578" s="81"/>
      <c r="AG578" s="81"/>
      <c r="AH578" s="81"/>
      <c r="AI578" s="81"/>
      <c r="AJ578" s="81"/>
      <c r="AK578" s="81"/>
      <c r="AL578" s="81"/>
      <c r="AM578" s="81"/>
    </row>
    <row collapsed="false" customFormat="false" customHeight="true" hidden="false" ht="16.2" outlineLevel="0" r="579">
      <c r="A579" s="80" t="n">
        <v>303</v>
      </c>
      <c r="B579" s="81"/>
      <c r="C579" s="82" t="s">
        <v>1033</v>
      </c>
      <c r="D579" s="85"/>
      <c r="E579" s="83" t="s">
        <v>1035</v>
      </c>
      <c r="F579" s="49" t="s">
        <v>1036</v>
      </c>
      <c r="G579" s="85"/>
      <c r="H579" s="85"/>
      <c r="I579" s="85"/>
      <c r="J579" s="85"/>
      <c r="K579" s="85"/>
      <c r="L579" s="85"/>
      <c r="M579" s="81"/>
      <c r="N579" s="81"/>
      <c r="O579" s="96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  <c r="AC579" s="81"/>
      <c r="AD579" s="81"/>
      <c r="AE579" s="81"/>
      <c r="AF579" s="81"/>
      <c r="AG579" s="81"/>
      <c r="AH579" s="81"/>
      <c r="AI579" s="81"/>
      <c r="AJ579" s="81"/>
      <c r="AK579" s="81"/>
      <c r="AL579" s="81"/>
      <c r="AM579" s="81"/>
    </row>
    <row collapsed="false" customFormat="false" customHeight="true" hidden="false" ht="16.2" outlineLevel="0" r="580">
      <c r="A580" s="80"/>
      <c r="B580" s="81" t="s">
        <v>460</v>
      </c>
      <c r="C580" s="85"/>
      <c r="D580" s="85" t="s">
        <v>1054</v>
      </c>
      <c r="E580" s="83" t="s">
        <v>1037</v>
      </c>
      <c r="F580" s="49" t="s">
        <v>1036</v>
      </c>
      <c r="G580" s="85" t="s">
        <v>1039</v>
      </c>
      <c r="H580" s="85" t="n">
        <v>28</v>
      </c>
      <c r="I580" s="85" t="s">
        <v>1039</v>
      </c>
      <c r="J580" s="85" t="n">
        <v>4</v>
      </c>
      <c r="K580" s="85" t="s">
        <v>1041</v>
      </c>
      <c r="L580" s="85" t="s">
        <v>1041</v>
      </c>
      <c r="M580" s="81" t="n">
        <v>3594</v>
      </c>
      <c r="N580" s="81"/>
      <c r="O580" s="96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  <c r="AC580" s="81"/>
      <c r="AD580" s="81"/>
      <c r="AE580" s="81"/>
      <c r="AF580" s="81"/>
      <c r="AG580" s="81"/>
      <c r="AH580" s="81"/>
      <c r="AI580" s="81"/>
      <c r="AJ580" s="81"/>
      <c r="AK580" s="81"/>
      <c r="AL580" s="81"/>
      <c r="AM580" s="81"/>
    </row>
    <row collapsed="false" customFormat="false" customHeight="true" hidden="false" ht="16.2" outlineLevel="0" r="581">
      <c r="A581" s="80" t="n">
        <v>304</v>
      </c>
      <c r="B581" s="81"/>
      <c r="C581" s="82" t="s">
        <v>1033</v>
      </c>
      <c r="D581" s="85"/>
      <c r="E581" s="83" t="s">
        <v>1035</v>
      </c>
      <c r="F581" s="49" t="s">
        <v>1036</v>
      </c>
      <c r="G581" s="85"/>
      <c r="H581" s="85"/>
      <c r="I581" s="85"/>
      <c r="J581" s="85"/>
      <c r="K581" s="85"/>
      <c r="L581" s="85"/>
      <c r="M581" s="81"/>
      <c r="N581" s="81"/>
      <c r="O581" s="96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  <c r="AC581" s="81"/>
      <c r="AD581" s="81"/>
      <c r="AE581" s="81"/>
      <c r="AF581" s="81"/>
      <c r="AG581" s="81"/>
      <c r="AH581" s="81"/>
      <c r="AI581" s="81"/>
      <c r="AJ581" s="81"/>
      <c r="AK581" s="81"/>
      <c r="AL581" s="81"/>
      <c r="AM581" s="81"/>
    </row>
    <row collapsed="false" customFormat="false" customHeight="true" hidden="false" ht="16.2" outlineLevel="0" r="582">
      <c r="A582" s="80"/>
      <c r="B582" s="81" t="s">
        <v>461</v>
      </c>
      <c r="C582" s="85"/>
      <c r="D582" s="85" t="s">
        <v>1054</v>
      </c>
      <c r="E582" s="83" t="s">
        <v>1037</v>
      </c>
      <c r="F582" s="49" t="s">
        <v>1036</v>
      </c>
      <c r="G582" s="85" t="s">
        <v>1042</v>
      </c>
      <c r="H582" s="85" t="n">
        <v>4</v>
      </c>
      <c r="I582" s="85" t="s">
        <v>1044</v>
      </c>
      <c r="J582" s="85" t="n">
        <v>1</v>
      </c>
      <c r="K582" s="85" t="s">
        <v>1041</v>
      </c>
      <c r="L582" s="85" t="s">
        <v>1041</v>
      </c>
      <c r="M582" s="81" t="n">
        <v>6498</v>
      </c>
      <c r="N582" s="81"/>
      <c r="O582" s="96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  <c r="AC582" s="81"/>
      <c r="AD582" s="81"/>
      <c r="AE582" s="81"/>
      <c r="AF582" s="81"/>
      <c r="AG582" s="81"/>
      <c r="AH582" s="81"/>
      <c r="AI582" s="81"/>
      <c r="AJ582" s="81"/>
      <c r="AK582" s="81"/>
      <c r="AL582" s="81"/>
      <c r="AM582" s="81"/>
    </row>
    <row collapsed="false" customFormat="false" customHeight="true" hidden="false" ht="16.2" outlineLevel="0" r="583">
      <c r="A583" s="80" t="n">
        <v>305</v>
      </c>
      <c r="B583" s="81"/>
      <c r="C583" s="82" t="s">
        <v>1033</v>
      </c>
      <c r="D583" s="85"/>
      <c r="E583" s="83" t="s">
        <v>1035</v>
      </c>
      <c r="F583" s="49" t="s">
        <v>1036</v>
      </c>
      <c r="G583" s="85"/>
      <c r="H583" s="85"/>
      <c r="I583" s="85"/>
      <c r="J583" s="85"/>
      <c r="K583" s="85"/>
      <c r="L583" s="85"/>
      <c r="M583" s="81"/>
      <c r="N583" s="81"/>
      <c r="O583" s="96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  <c r="AC583" s="81"/>
      <c r="AD583" s="81"/>
      <c r="AE583" s="81"/>
      <c r="AF583" s="81"/>
      <c r="AG583" s="81"/>
      <c r="AH583" s="81"/>
      <c r="AI583" s="81"/>
      <c r="AJ583" s="81"/>
      <c r="AK583" s="81"/>
      <c r="AL583" s="81"/>
      <c r="AM583" s="81"/>
    </row>
    <row collapsed="false" customFormat="false" customHeight="true" hidden="false" ht="16.2" outlineLevel="0" r="584">
      <c r="A584" s="80"/>
      <c r="B584" s="81" t="s">
        <v>462</v>
      </c>
      <c r="C584" s="85"/>
      <c r="D584" s="85" t="s">
        <v>1054</v>
      </c>
      <c r="E584" s="83" t="s">
        <v>1037</v>
      </c>
      <c r="F584" s="49" t="s">
        <v>1036</v>
      </c>
      <c r="G584" s="85" t="s">
        <v>1039</v>
      </c>
      <c r="H584" s="85" t="n">
        <v>36</v>
      </c>
      <c r="I584" s="85" t="s">
        <v>1039</v>
      </c>
      <c r="J584" s="85" t="n">
        <v>6</v>
      </c>
      <c r="K584" s="85" t="s">
        <v>1041</v>
      </c>
      <c r="L584" s="85" t="s">
        <v>1041</v>
      </c>
      <c r="M584" s="81" t="n">
        <v>9348</v>
      </c>
      <c r="N584" s="81"/>
      <c r="O584" s="96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  <c r="AC584" s="81"/>
      <c r="AD584" s="81"/>
      <c r="AE584" s="81"/>
      <c r="AF584" s="81"/>
      <c r="AG584" s="81"/>
      <c r="AH584" s="81"/>
      <c r="AI584" s="81"/>
      <c r="AJ584" s="81"/>
      <c r="AK584" s="81"/>
      <c r="AL584" s="81"/>
      <c r="AM584" s="81"/>
    </row>
    <row collapsed="false" customFormat="false" customHeight="true" hidden="false" ht="16.2" outlineLevel="0" r="585">
      <c r="A585" s="80" t="n">
        <v>306</v>
      </c>
      <c r="B585" s="81"/>
      <c r="C585" s="82" t="s">
        <v>1033</v>
      </c>
      <c r="D585" s="85"/>
      <c r="E585" s="83" t="s">
        <v>1035</v>
      </c>
      <c r="F585" s="49" t="s">
        <v>1036</v>
      </c>
      <c r="G585" s="85"/>
      <c r="H585" s="85"/>
      <c r="I585" s="85"/>
      <c r="J585" s="85"/>
      <c r="K585" s="85"/>
      <c r="L585" s="85"/>
      <c r="M585" s="81"/>
      <c r="N585" s="81"/>
      <c r="O585" s="96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  <c r="AC585" s="81"/>
      <c r="AD585" s="81"/>
      <c r="AE585" s="81"/>
      <c r="AF585" s="81"/>
      <c r="AG585" s="81"/>
      <c r="AH585" s="81"/>
      <c r="AI585" s="81"/>
      <c r="AJ585" s="81"/>
      <c r="AK585" s="81"/>
      <c r="AL585" s="81"/>
      <c r="AM585" s="81"/>
    </row>
    <row collapsed="false" customFormat="false" customHeight="true" hidden="false" ht="16.2" outlineLevel="0" r="586">
      <c r="A586" s="80"/>
      <c r="B586" s="81" t="s">
        <v>463</v>
      </c>
      <c r="C586" s="85"/>
      <c r="D586" s="85" t="s">
        <v>1054</v>
      </c>
      <c r="E586" s="83" t="s">
        <v>1037</v>
      </c>
      <c r="F586" s="49" t="s">
        <v>1036</v>
      </c>
      <c r="G586" s="85" t="s">
        <v>1039</v>
      </c>
      <c r="H586" s="85" t="n">
        <v>20</v>
      </c>
      <c r="I586" s="85" t="s">
        <v>1044</v>
      </c>
      <c r="J586" s="85" t="n">
        <v>1</v>
      </c>
      <c r="K586" s="85" t="s">
        <v>1041</v>
      </c>
      <c r="L586" s="85" t="s">
        <v>1041</v>
      </c>
      <c r="M586" s="81" t="n">
        <v>10560</v>
      </c>
      <c r="N586" s="81"/>
      <c r="O586" s="96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  <c r="AC586" s="81"/>
      <c r="AD586" s="81"/>
      <c r="AE586" s="81"/>
      <c r="AF586" s="81"/>
      <c r="AG586" s="81"/>
      <c r="AH586" s="81"/>
      <c r="AI586" s="81"/>
      <c r="AJ586" s="81"/>
      <c r="AK586" s="81"/>
      <c r="AL586" s="81"/>
      <c r="AM586" s="81"/>
    </row>
    <row collapsed="false" customFormat="false" customHeight="true" hidden="false" ht="16.2" outlineLevel="0" r="587">
      <c r="A587" s="80" t="n">
        <v>307</v>
      </c>
      <c r="B587" s="81"/>
      <c r="C587" s="82" t="s">
        <v>1033</v>
      </c>
      <c r="D587" s="85"/>
      <c r="E587" s="83" t="s">
        <v>1035</v>
      </c>
      <c r="F587" s="49" t="s">
        <v>1036</v>
      </c>
      <c r="G587" s="85"/>
      <c r="H587" s="85"/>
      <c r="I587" s="85"/>
      <c r="J587" s="85"/>
      <c r="K587" s="85"/>
      <c r="L587" s="85"/>
      <c r="M587" s="81"/>
      <c r="N587" s="81"/>
      <c r="O587" s="96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  <c r="AD587" s="81"/>
      <c r="AE587" s="81"/>
      <c r="AF587" s="81"/>
      <c r="AG587" s="81"/>
      <c r="AH587" s="81"/>
      <c r="AI587" s="81"/>
      <c r="AJ587" s="81"/>
      <c r="AK587" s="81"/>
      <c r="AL587" s="81"/>
      <c r="AM587" s="81"/>
    </row>
    <row collapsed="false" customFormat="false" customHeight="true" hidden="false" ht="16.2" outlineLevel="0" r="588">
      <c r="A588" s="80"/>
      <c r="B588" s="81" t="s">
        <v>464</v>
      </c>
      <c r="C588" s="85"/>
      <c r="D588" s="85" t="s">
        <v>1054</v>
      </c>
      <c r="E588" s="83" t="s">
        <v>1037</v>
      </c>
      <c r="F588" s="49" t="s">
        <v>1036</v>
      </c>
      <c r="G588" s="85" t="s">
        <v>1039</v>
      </c>
      <c r="H588" s="85" t="n">
        <v>21</v>
      </c>
      <c r="I588" s="85" t="s">
        <v>1044</v>
      </c>
      <c r="J588" s="85" t="n">
        <v>2</v>
      </c>
      <c r="K588" s="85" t="s">
        <v>1041</v>
      </c>
      <c r="L588" s="85" t="s">
        <v>1041</v>
      </c>
      <c r="M588" s="81" t="n">
        <v>4974</v>
      </c>
      <c r="N588" s="81"/>
      <c r="O588" s="96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  <c r="AC588" s="81"/>
      <c r="AD588" s="81"/>
      <c r="AE588" s="81"/>
      <c r="AF588" s="81"/>
      <c r="AG588" s="81"/>
      <c r="AH588" s="81"/>
      <c r="AI588" s="81"/>
      <c r="AJ588" s="81"/>
      <c r="AK588" s="81"/>
      <c r="AL588" s="81"/>
      <c r="AM588" s="81"/>
    </row>
    <row collapsed="false" customFormat="false" customHeight="true" hidden="false" ht="16.2" outlineLevel="0" r="589">
      <c r="A589" s="80" t="n">
        <v>308</v>
      </c>
      <c r="B589" s="81"/>
      <c r="C589" s="82" t="s">
        <v>1033</v>
      </c>
      <c r="D589" s="85"/>
      <c r="E589" s="83" t="s">
        <v>1035</v>
      </c>
      <c r="F589" s="49" t="s">
        <v>1036</v>
      </c>
      <c r="G589" s="85"/>
      <c r="H589" s="85"/>
      <c r="I589" s="85"/>
      <c r="J589" s="85"/>
      <c r="K589" s="85"/>
      <c r="L589" s="85"/>
      <c r="M589" s="81"/>
      <c r="N589" s="81"/>
      <c r="O589" s="96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  <c r="AC589" s="81"/>
      <c r="AD589" s="81"/>
      <c r="AE589" s="81"/>
      <c r="AF589" s="81"/>
      <c r="AG589" s="81"/>
      <c r="AH589" s="81"/>
      <c r="AI589" s="81"/>
      <c r="AJ589" s="81"/>
      <c r="AK589" s="81"/>
      <c r="AL589" s="81"/>
      <c r="AM589" s="81"/>
    </row>
    <row collapsed="false" customFormat="false" customHeight="true" hidden="false" ht="16.2" outlineLevel="0" r="590">
      <c r="A590" s="80"/>
      <c r="B590" s="81" t="s">
        <v>465</v>
      </c>
      <c r="C590" s="85"/>
      <c r="D590" s="85" t="s">
        <v>1054</v>
      </c>
      <c r="E590" s="83" t="s">
        <v>1037</v>
      </c>
      <c r="F590" s="49" t="s">
        <v>1036</v>
      </c>
      <c r="G590" s="85" t="s">
        <v>1039</v>
      </c>
      <c r="H590" s="85" t="n">
        <v>36</v>
      </c>
      <c r="I590" s="85" t="s">
        <v>1044</v>
      </c>
      <c r="J590" s="85" t="n">
        <v>6</v>
      </c>
      <c r="K590" s="85" t="s">
        <v>1041</v>
      </c>
      <c r="L590" s="85" t="s">
        <v>1041</v>
      </c>
      <c r="M590" s="81" t="n">
        <v>9348</v>
      </c>
      <c r="N590" s="81"/>
      <c r="O590" s="96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  <c r="AC590" s="81"/>
      <c r="AD590" s="81"/>
      <c r="AE590" s="81"/>
      <c r="AF590" s="81"/>
      <c r="AG590" s="81"/>
      <c r="AH590" s="81"/>
      <c r="AI590" s="81"/>
      <c r="AJ590" s="81"/>
      <c r="AK590" s="81"/>
      <c r="AL590" s="81"/>
      <c r="AM590" s="81"/>
    </row>
    <row collapsed="false" customFormat="false" customHeight="true" hidden="false" ht="16.2" outlineLevel="0" r="591">
      <c r="A591" s="80" t="n">
        <v>309</v>
      </c>
      <c r="B591" s="81"/>
      <c r="C591" s="82" t="s">
        <v>1033</v>
      </c>
      <c r="D591" s="85"/>
      <c r="E591" s="83" t="s">
        <v>1035</v>
      </c>
      <c r="F591" s="49" t="s">
        <v>1036</v>
      </c>
      <c r="G591" s="85"/>
      <c r="H591" s="85"/>
      <c r="I591" s="85"/>
      <c r="J591" s="85"/>
      <c r="K591" s="85"/>
      <c r="L591" s="85"/>
      <c r="M591" s="81" t="n">
        <v>3567</v>
      </c>
      <c r="N591" s="81"/>
      <c r="O591" s="96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  <c r="AC591" s="81"/>
      <c r="AD591" s="81"/>
      <c r="AE591" s="81"/>
      <c r="AF591" s="81"/>
      <c r="AG591" s="81"/>
      <c r="AH591" s="81"/>
      <c r="AI591" s="81"/>
      <c r="AJ591" s="81"/>
      <c r="AK591" s="81"/>
      <c r="AL591" s="81"/>
      <c r="AM591" s="81"/>
    </row>
    <row collapsed="false" customFormat="false" customHeight="true" hidden="false" ht="16.2" outlineLevel="0" r="592">
      <c r="A592" s="80"/>
      <c r="B592" s="81" t="s">
        <v>466</v>
      </c>
      <c r="C592" s="85"/>
      <c r="D592" s="85" t="s">
        <v>1054</v>
      </c>
      <c r="E592" s="83" t="s">
        <v>1037</v>
      </c>
      <c r="F592" s="49" t="s">
        <v>1036</v>
      </c>
      <c r="G592" s="85" t="s">
        <v>1039</v>
      </c>
      <c r="H592" s="85" t="n">
        <v>20</v>
      </c>
      <c r="I592" s="85" t="s">
        <v>1039</v>
      </c>
      <c r="J592" s="85" t="n">
        <v>1</v>
      </c>
      <c r="K592" s="85" t="s">
        <v>1041</v>
      </c>
      <c r="L592" s="85" t="s">
        <v>1041</v>
      </c>
      <c r="M592" s="81" t="n">
        <v>3567</v>
      </c>
      <c r="N592" s="81"/>
      <c r="O592" s="96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  <c r="AC592" s="81"/>
      <c r="AD592" s="81"/>
      <c r="AE592" s="81"/>
      <c r="AF592" s="81"/>
      <c r="AG592" s="81"/>
      <c r="AH592" s="81"/>
      <c r="AI592" s="81"/>
      <c r="AJ592" s="81"/>
      <c r="AK592" s="81"/>
      <c r="AL592" s="81"/>
      <c r="AM592" s="81"/>
    </row>
    <row collapsed="false" customFormat="false" customHeight="true" hidden="false" ht="16.2" outlineLevel="0" r="593">
      <c r="A593" s="80" t="n">
        <v>310</v>
      </c>
      <c r="B593" s="81"/>
      <c r="C593" s="82" t="s">
        <v>1033</v>
      </c>
      <c r="D593" s="85"/>
      <c r="E593" s="83" t="s">
        <v>1035</v>
      </c>
      <c r="F593" s="49" t="s">
        <v>1036</v>
      </c>
      <c r="G593" s="85"/>
      <c r="H593" s="85"/>
      <c r="I593" s="85"/>
      <c r="J593" s="85"/>
      <c r="K593" s="85"/>
      <c r="L593" s="85"/>
      <c r="M593" s="81"/>
      <c r="N593" s="81"/>
      <c r="O593" s="96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  <c r="AC593" s="81"/>
      <c r="AD593" s="81"/>
      <c r="AE593" s="81"/>
      <c r="AF593" s="81"/>
      <c r="AG593" s="81"/>
      <c r="AH593" s="81"/>
      <c r="AI593" s="81"/>
      <c r="AJ593" s="81"/>
      <c r="AK593" s="81"/>
      <c r="AL593" s="81"/>
      <c r="AM593" s="81"/>
    </row>
    <row collapsed="false" customFormat="false" customHeight="true" hidden="false" ht="16.2" outlineLevel="0" r="594">
      <c r="A594" s="80"/>
      <c r="B594" s="81" t="s">
        <v>467</v>
      </c>
      <c r="C594" s="85"/>
      <c r="D594" s="85" t="s">
        <v>1054</v>
      </c>
      <c r="E594" s="83" t="s">
        <v>1037</v>
      </c>
      <c r="F594" s="49" t="s">
        <v>1036</v>
      </c>
      <c r="G594" s="85" t="s">
        <v>1039</v>
      </c>
      <c r="H594" s="85" t="n">
        <v>24</v>
      </c>
      <c r="I594" s="85" t="s">
        <v>1039</v>
      </c>
      <c r="J594" s="85" t="n">
        <v>4</v>
      </c>
      <c r="K594" s="85" t="s">
        <v>1041</v>
      </c>
      <c r="L594" s="85" t="s">
        <v>1041</v>
      </c>
      <c r="M594" s="81" t="n">
        <v>8184</v>
      </c>
      <c r="N594" s="81"/>
      <c r="O594" s="96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  <c r="AC594" s="81"/>
      <c r="AD594" s="81"/>
      <c r="AE594" s="81"/>
      <c r="AF594" s="81"/>
      <c r="AG594" s="81"/>
      <c r="AH594" s="81"/>
      <c r="AI594" s="81"/>
      <c r="AJ594" s="81"/>
      <c r="AK594" s="81"/>
      <c r="AL594" s="81"/>
      <c r="AM594" s="81"/>
    </row>
    <row collapsed="false" customFormat="false" customHeight="true" hidden="false" ht="16.2" outlineLevel="0" r="595">
      <c r="A595" s="80" t="n">
        <v>311</v>
      </c>
      <c r="B595" s="81"/>
      <c r="C595" s="82" t="s">
        <v>1033</v>
      </c>
      <c r="D595" s="85"/>
      <c r="E595" s="83" t="s">
        <v>1035</v>
      </c>
      <c r="F595" s="49" t="s">
        <v>1036</v>
      </c>
      <c r="G595" s="85"/>
      <c r="H595" s="85"/>
      <c r="I595" s="85"/>
      <c r="J595" s="85"/>
      <c r="K595" s="85"/>
      <c r="L595" s="85"/>
      <c r="M595" s="81"/>
      <c r="N595" s="81"/>
      <c r="O595" s="96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  <c r="AC595" s="81"/>
      <c r="AD595" s="81"/>
      <c r="AE595" s="81"/>
      <c r="AF595" s="81"/>
      <c r="AG595" s="81"/>
      <c r="AH595" s="81"/>
      <c r="AI595" s="81"/>
      <c r="AJ595" s="81"/>
      <c r="AK595" s="81"/>
      <c r="AL595" s="81"/>
      <c r="AM595" s="81"/>
    </row>
    <row collapsed="false" customFormat="false" customHeight="true" hidden="false" ht="16.2" outlineLevel="0" r="596">
      <c r="A596" s="80"/>
      <c r="B596" s="81" t="s">
        <v>468</v>
      </c>
      <c r="C596" s="85"/>
      <c r="D596" s="85" t="s">
        <v>1054</v>
      </c>
      <c r="E596" s="83" t="s">
        <v>1037</v>
      </c>
      <c r="F596" s="49" t="s">
        <v>1036</v>
      </c>
      <c r="G596" s="85" t="s">
        <v>1039</v>
      </c>
      <c r="H596" s="85" t="n">
        <v>36</v>
      </c>
      <c r="I596" s="85" t="s">
        <v>1039</v>
      </c>
      <c r="J596" s="85" t="n">
        <v>6</v>
      </c>
      <c r="K596" s="85" t="s">
        <v>1041</v>
      </c>
      <c r="L596" s="85" t="s">
        <v>1041</v>
      </c>
      <c r="M596" s="81" t="n">
        <v>6864</v>
      </c>
      <c r="N596" s="81"/>
      <c r="O596" s="96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  <c r="AC596" s="81"/>
      <c r="AD596" s="81"/>
      <c r="AE596" s="81"/>
      <c r="AF596" s="81"/>
      <c r="AG596" s="81"/>
      <c r="AH596" s="81"/>
      <c r="AI596" s="81"/>
      <c r="AJ596" s="81"/>
      <c r="AK596" s="81"/>
      <c r="AL596" s="81"/>
      <c r="AM596" s="81"/>
    </row>
    <row collapsed="false" customFormat="false" customHeight="true" hidden="false" ht="16.2" outlineLevel="0" r="597">
      <c r="A597" s="80" t="n">
        <v>312</v>
      </c>
      <c r="B597" s="81" t="s">
        <v>470</v>
      </c>
      <c r="C597" s="82" t="s">
        <v>1033</v>
      </c>
      <c r="D597" s="82" t="s">
        <v>1034</v>
      </c>
      <c r="E597" s="83" t="s">
        <v>1035</v>
      </c>
      <c r="F597" s="84" t="s">
        <v>1036</v>
      </c>
      <c r="G597" s="85"/>
      <c r="H597" s="85"/>
      <c r="I597" s="85"/>
      <c r="J597" s="85"/>
      <c r="K597" s="86" t="s">
        <v>53</v>
      </c>
      <c r="L597" s="86" t="s">
        <v>53</v>
      </c>
      <c r="M597" s="90" t="n">
        <f aca="false">12970+2650</f>
        <v>15620</v>
      </c>
      <c r="N597" s="90" t="n">
        <f aca="false">7940+2538</f>
        <v>10478</v>
      </c>
      <c r="O597" s="90"/>
      <c r="P597" s="90"/>
      <c r="Q597" s="81"/>
      <c r="R597" s="81"/>
      <c r="S597" s="81"/>
      <c r="T597" s="81"/>
      <c r="U597" s="81"/>
      <c r="V597" s="81"/>
      <c r="W597" s="81"/>
      <c r="X597" s="81"/>
      <c r="Y597" s="81" t="n">
        <v>870</v>
      </c>
      <c r="Z597" s="81"/>
      <c r="AA597" s="81" t="n">
        <v>1005</v>
      </c>
      <c r="AB597" s="81"/>
      <c r="AC597" s="81" t="n">
        <v>1230</v>
      </c>
      <c r="AD597" s="81"/>
      <c r="AE597" s="90" t="n">
        <v>1230</v>
      </c>
      <c r="AF597" s="81"/>
      <c r="AG597" s="81" t="n">
        <f aca="false">900+165</f>
        <v>1065</v>
      </c>
      <c r="AH597" s="81"/>
      <c r="AI597" s="81" t="n">
        <f aca="false">1215+225</f>
        <v>1440</v>
      </c>
      <c r="AJ597" s="81"/>
      <c r="AK597" s="81" t="n">
        <f aca="false">915+180</f>
        <v>1095</v>
      </c>
      <c r="AL597" s="81"/>
      <c r="AM597" s="81" t="n">
        <f aca="false">O597+Q597+S597+U597+W597+Y597+AA597+AC597+AE597+AG597+AI597+AK597</f>
        <v>7935</v>
      </c>
    </row>
    <row collapsed="false" customFormat="false" customHeight="true" hidden="false" ht="16.2" outlineLevel="0" r="598">
      <c r="A598" s="80"/>
      <c r="B598" s="89"/>
      <c r="C598" s="85"/>
      <c r="D598" s="85"/>
      <c r="E598" s="83" t="s">
        <v>1037</v>
      </c>
      <c r="F598" s="84" t="s">
        <v>1036</v>
      </c>
      <c r="G598" s="85"/>
      <c r="H598" s="85"/>
      <c r="I598" s="85"/>
      <c r="J598" s="85"/>
      <c r="K598" s="86"/>
      <c r="L598" s="86"/>
      <c r="M598" s="90"/>
      <c r="N598" s="91" t="n">
        <f aca="false">7891</f>
        <v>7891</v>
      </c>
      <c r="O598" s="90" t="n">
        <v>903</v>
      </c>
      <c r="P598" s="90" t="s">
        <v>1061</v>
      </c>
      <c r="Q598" s="81" t="n">
        <v>2668</v>
      </c>
      <c r="R598" s="81" t="s">
        <v>1061</v>
      </c>
      <c r="S598" s="81" t="n">
        <v>2029</v>
      </c>
      <c r="T598" s="81" t="s">
        <v>1061</v>
      </c>
      <c r="U598" s="81" t="n">
        <v>2028</v>
      </c>
      <c r="V598" s="81" t="s">
        <v>1005</v>
      </c>
      <c r="W598" s="81" t="n">
        <v>2223</v>
      </c>
      <c r="X598" s="81" t="s">
        <v>1005</v>
      </c>
      <c r="Y598" s="81" t="n">
        <v>377</v>
      </c>
      <c r="Z598" s="81" t="s">
        <v>1005</v>
      </c>
      <c r="AA598" s="81" t="n">
        <v>522</v>
      </c>
      <c r="AB598" s="81" t="s">
        <v>1005</v>
      </c>
      <c r="AC598" s="81" t="n">
        <v>3650</v>
      </c>
      <c r="AD598" s="81" t="s">
        <v>1005</v>
      </c>
      <c r="AE598" s="90" t="n">
        <v>3650</v>
      </c>
      <c r="AF598" s="81" t="s">
        <v>1005</v>
      </c>
      <c r="AG598" s="81" t="n">
        <f aca="false">1147+704</f>
        <v>1851</v>
      </c>
      <c r="AH598" s="81" t="s">
        <v>1005</v>
      </c>
      <c r="AI598" s="81" t="n">
        <f aca="false">1055+723</f>
        <v>1778</v>
      </c>
      <c r="AJ598" s="81" t="s">
        <v>1005</v>
      </c>
      <c r="AK598" s="81" t="n">
        <f aca="false">788+499</f>
        <v>1287</v>
      </c>
      <c r="AL598" s="81" t="s">
        <v>1005</v>
      </c>
      <c r="AM598" s="81" t="n">
        <f aca="false">O598+Q598+S598+U598+W598+Y598+AA598+AC598+AE598+AG598+AI598+AK598</f>
        <v>22966</v>
      </c>
    </row>
    <row collapsed="false" customFormat="false" customHeight="true" hidden="false" ht="16.2" outlineLevel="0" r="599">
      <c r="A599" s="80" t="n">
        <v>313</v>
      </c>
      <c r="B599" s="81" t="s">
        <v>471</v>
      </c>
      <c r="C599" s="82" t="s">
        <v>1033</v>
      </c>
      <c r="D599" s="82" t="s">
        <v>1034</v>
      </c>
      <c r="E599" s="83" t="s">
        <v>1035</v>
      </c>
      <c r="F599" s="84" t="s">
        <v>1036</v>
      </c>
      <c r="G599" s="85"/>
      <c r="H599" s="85"/>
      <c r="I599" s="85"/>
      <c r="J599" s="85"/>
      <c r="K599" s="86" t="s">
        <v>53</v>
      </c>
      <c r="L599" s="86" t="s">
        <v>53</v>
      </c>
      <c r="M599" s="90" t="n">
        <f aca="false">3047+566</f>
        <v>3613</v>
      </c>
      <c r="N599" s="90" t="n">
        <f aca="false">2882+911</f>
        <v>3793</v>
      </c>
      <c r="O599" s="90"/>
      <c r="P599" s="90"/>
      <c r="Q599" s="81" t="n">
        <v>250</v>
      </c>
      <c r="R599" s="90" t="s">
        <v>1005</v>
      </c>
      <c r="S599" s="81" t="n">
        <v>244</v>
      </c>
      <c r="T599" s="81"/>
      <c r="U599" s="81" t="n">
        <v>336</v>
      </c>
      <c r="V599" s="81"/>
      <c r="W599" s="81" t="n">
        <v>350</v>
      </c>
      <c r="X599" s="81"/>
      <c r="Y599" s="81" t="n">
        <v>335</v>
      </c>
      <c r="Z599" s="81"/>
      <c r="AA599" s="81" t="n">
        <v>286</v>
      </c>
      <c r="AB599" s="81"/>
      <c r="AC599" s="81" t="n">
        <v>350</v>
      </c>
      <c r="AD599" s="81"/>
      <c r="AE599" s="90" t="n">
        <v>350</v>
      </c>
      <c r="AF599" s="81"/>
      <c r="AG599" s="81" t="n">
        <f aca="false">239+40</f>
        <v>279</v>
      </c>
      <c r="AH599" s="81"/>
      <c r="AI599" s="81" t="n">
        <f aca="false">302+57</f>
        <v>359</v>
      </c>
      <c r="AJ599" s="81"/>
      <c r="AK599" s="81" t="n">
        <f aca="false">229+45</f>
        <v>274</v>
      </c>
      <c r="AL599" s="81"/>
      <c r="AM599" s="81" t="n">
        <f aca="false">O599+Q599+S599+U599+W599+Y599+AA599+AC599+AE599+AG599+AI599+AK599</f>
        <v>3413</v>
      </c>
    </row>
    <row collapsed="false" customFormat="false" customHeight="true" hidden="false" ht="16.2" outlineLevel="0" r="600">
      <c r="A600" s="80"/>
      <c r="B600" s="89"/>
      <c r="C600" s="85"/>
      <c r="D600" s="85"/>
      <c r="E600" s="83" t="s">
        <v>1037</v>
      </c>
      <c r="F600" s="84" t="s">
        <v>1036</v>
      </c>
      <c r="G600" s="85"/>
      <c r="H600" s="85"/>
      <c r="I600" s="85"/>
      <c r="J600" s="85"/>
      <c r="K600" s="86"/>
      <c r="L600" s="86"/>
      <c r="M600" s="90" t="n">
        <f aca="false">7071+3601</f>
        <v>10672</v>
      </c>
      <c r="N600" s="91" t="n">
        <f aca="false">4733+2793</f>
        <v>7526</v>
      </c>
      <c r="O600" s="90" t="n">
        <v>1002</v>
      </c>
      <c r="P600" s="90" t="s">
        <v>1005</v>
      </c>
      <c r="Q600" s="81" t="n">
        <v>709</v>
      </c>
      <c r="R600" s="90" t="s">
        <v>1005</v>
      </c>
      <c r="S600" s="81" t="n">
        <v>579</v>
      </c>
      <c r="T600" s="81" t="s">
        <v>1005</v>
      </c>
      <c r="U600" s="81" t="n">
        <v>621</v>
      </c>
      <c r="V600" s="81" t="s">
        <v>1005</v>
      </c>
      <c r="W600" s="81" t="n">
        <v>674</v>
      </c>
      <c r="X600" s="81" t="s">
        <v>1005</v>
      </c>
      <c r="Y600" s="81" t="n">
        <v>617</v>
      </c>
      <c r="Z600" s="81" t="s">
        <v>1005</v>
      </c>
      <c r="AA600" s="81" t="n">
        <v>553</v>
      </c>
      <c r="AB600" s="81" t="s">
        <v>1005</v>
      </c>
      <c r="AC600" s="81" t="n">
        <v>1361</v>
      </c>
      <c r="AD600" s="81" t="s">
        <v>1005</v>
      </c>
      <c r="AE600" s="90" t="n">
        <v>1361</v>
      </c>
      <c r="AF600" s="81" t="s">
        <v>1005</v>
      </c>
      <c r="AG600" s="81" t="n">
        <f aca="false">695+347</f>
        <v>1042</v>
      </c>
      <c r="AH600" s="81" t="s">
        <v>1005</v>
      </c>
      <c r="AI600" s="81" t="n">
        <f aca="false">886+446</f>
        <v>1332</v>
      </c>
      <c r="AJ600" s="81" t="s">
        <v>1005</v>
      </c>
      <c r="AK600" s="81" t="n">
        <f aca="false">684+344</f>
        <v>1028</v>
      </c>
      <c r="AL600" s="81" t="s">
        <v>1005</v>
      </c>
      <c r="AM600" s="81" t="n">
        <f aca="false">O600+Q600+S600+U600+W600+Y600+AA600+AC600+AE600+AG600+AI600+AK600</f>
        <v>10879</v>
      </c>
    </row>
    <row collapsed="false" customFormat="false" customHeight="true" hidden="false" ht="16.2" outlineLevel="0" r="601">
      <c r="A601" s="80" t="n">
        <v>314</v>
      </c>
      <c r="B601" s="81" t="s">
        <v>472</v>
      </c>
      <c r="C601" s="82" t="s">
        <v>1033</v>
      </c>
      <c r="D601" s="82" t="s">
        <v>1034</v>
      </c>
      <c r="E601" s="83" t="s">
        <v>1035</v>
      </c>
      <c r="F601" s="84" t="s">
        <v>1036</v>
      </c>
      <c r="G601" s="85"/>
      <c r="H601" s="85"/>
      <c r="I601" s="85"/>
      <c r="J601" s="85"/>
      <c r="K601" s="86" t="s">
        <v>53</v>
      </c>
      <c r="L601" s="86" t="s">
        <v>53</v>
      </c>
      <c r="M601" s="90"/>
      <c r="N601" s="90"/>
      <c r="O601" s="90"/>
      <c r="P601" s="90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  <c r="AC601" s="81"/>
      <c r="AD601" s="81"/>
      <c r="AE601" s="90"/>
      <c r="AF601" s="81"/>
      <c r="AG601" s="81"/>
      <c r="AH601" s="81"/>
      <c r="AI601" s="81"/>
      <c r="AJ601" s="81"/>
      <c r="AK601" s="81"/>
      <c r="AL601" s="81"/>
      <c r="AM601" s="81" t="n">
        <f aca="false">O601+Q601+S601+U601+W601+Y601+AA601+AC601+AE601+AG601+AI601+AK601</f>
        <v>0</v>
      </c>
    </row>
    <row collapsed="false" customFormat="false" customHeight="true" hidden="false" ht="16.2" outlineLevel="0" r="602">
      <c r="A602" s="80"/>
      <c r="B602" s="89"/>
      <c r="C602" s="85"/>
      <c r="D602" s="85"/>
      <c r="E602" s="83" t="s">
        <v>1037</v>
      </c>
      <c r="F602" s="84" t="s">
        <v>1036</v>
      </c>
      <c r="G602" s="85"/>
      <c r="H602" s="85"/>
      <c r="I602" s="85"/>
      <c r="J602" s="85"/>
      <c r="K602" s="86"/>
      <c r="L602" s="86"/>
      <c r="M602" s="90" t="n">
        <f aca="false">2445+2079</f>
        <v>4524</v>
      </c>
      <c r="N602" s="91" t="n">
        <f aca="false">2688+2186</f>
        <v>4874</v>
      </c>
      <c r="O602" s="90" t="n">
        <v>519</v>
      </c>
      <c r="P602" s="90" t="s">
        <v>1005</v>
      </c>
      <c r="Q602" s="81" t="n">
        <v>433</v>
      </c>
      <c r="R602" s="90" t="s">
        <v>1005</v>
      </c>
      <c r="S602" s="81" t="n">
        <v>342</v>
      </c>
      <c r="T602" s="81" t="s">
        <v>1005</v>
      </c>
      <c r="U602" s="81" t="n">
        <v>344</v>
      </c>
      <c r="V602" s="81" t="s">
        <v>1005</v>
      </c>
      <c r="W602" s="81" t="n">
        <v>327</v>
      </c>
      <c r="X602" s="81" t="s">
        <v>1005</v>
      </c>
      <c r="Y602" s="81" t="n">
        <v>384</v>
      </c>
      <c r="Z602" s="81" t="s">
        <v>1005</v>
      </c>
      <c r="AA602" s="81" t="n">
        <v>425</v>
      </c>
      <c r="AB602" s="81" t="s">
        <v>1005</v>
      </c>
      <c r="AC602" s="81" t="n">
        <v>389</v>
      </c>
      <c r="AD602" s="81" t="s">
        <v>1005</v>
      </c>
      <c r="AE602" s="90" t="n">
        <v>389</v>
      </c>
      <c r="AF602" s="81" t="s">
        <v>1005</v>
      </c>
      <c r="AG602" s="81" t="n">
        <f aca="false">241+216</f>
        <v>457</v>
      </c>
      <c r="AH602" s="81" t="s">
        <v>1005</v>
      </c>
      <c r="AI602" s="81" t="n">
        <f aca="false">315+238</f>
        <v>553</v>
      </c>
      <c r="AJ602" s="81" t="s">
        <v>1005</v>
      </c>
      <c r="AK602" s="81" t="n">
        <f aca="false">370+236</f>
        <v>606</v>
      </c>
      <c r="AL602" s="81" t="s">
        <v>1005</v>
      </c>
      <c r="AM602" s="81" t="n">
        <f aca="false">O602+Q602+S602+U602+W602+Y602+AA602+AC602+AE602+AG602+AI602+AK602</f>
        <v>5168</v>
      </c>
    </row>
    <row collapsed="false" customFormat="false" customHeight="true" hidden="false" ht="16.2" outlineLevel="0" r="603">
      <c r="A603" s="80" t="n">
        <v>315</v>
      </c>
      <c r="B603" s="81" t="s">
        <v>473</v>
      </c>
      <c r="C603" s="82" t="s">
        <v>1033</v>
      </c>
      <c r="D603" s="82" t="s">
        <v>1034</v>
      </c>
      <c r="E603" s="83" t="s">
        <v>1035</v>
      </c>
      <c r="F603" s="84" t="s">
        <v>1036</v>
      </c>
      <c r="G603" s="85"/>
      <c r="H603" s="85"/>
      <c r="I603" s="85"/>
      <c r="J603" s="85"/>
      <c r="K603" s="86" t="s">
        <v>53</v>
      </c>
      <c r="L603" s="86" t="s">
        <v>53</v>
      </c>
      <c r="M603" s="90"/>
      <c r="N603" s="90"/>
      <c r="O603" s="90"/>
      <c r="P603" s="90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  <c r="AC603" s="81"/>
      <c r="AD603" s="81"/>
      <c r="AE603" s="90"/>
      <c r="AF603" s="81"/>
      <c r="AG603" s="81"/>
      <c r="AH603" s="81"/>
      <c r="AI603" s="81"/>
      <c r="AJ603" s="81"/>
      <c r="AK603" s="81"/>
      <c r="AL603" s="81"/>
      <c r="AM603" s="81" t="n">
        <f aca="false">O603+Q603+S603+U603+W603+Y603+AA603+AC603+AE603+AG603+AI603+AK603</f>
        <v>0</v>
      </c>
    </row>
    <row collapsed="false" customFormat="false" customHeight="true" hidden="false" ht="16.2" outlineLevel="0" r="604">
      <c r="A604" s="80"/>
      <c r="B604" s="89"/>
      <c r="C604" s="85"/>
      <c r="D604" s="85"/>
      <c r="E604" s="83" t="s">
        <v>1037</v>
      </c>
      <c r="F604" s="84" t="s">
        <v>1036</v>
      </c>
      <c r="G604" s="85"/>
      <c r="H604" s="85"/>
      <c r="I604" s="85"/>
      <c r="J604" s="85"/>
      <c r="K604" s="86"/>
      <c r="L604" s="86"/>
      <c r="M604" s="90" t="n">
        <f aca="false">1976+1861</f>
        <v>3837</v>
      </c>
      <c r="N604" s="91" t="n">
        <f aca="false">2066+2083</f>
        <v>4149</v>
      </c>
      <c r="O604" s="90" t="n">
        <v>567</v>
      </c>
      <c r="P604" s="90" t="s">
        <v>1005</v>
      </c>
      <c r="Q604" s="81" t="n">
        <v>465</v>
      </c>
      <c r="R604" s="90" t="s">
        <v>1005</v>
      </c>
      <c r="S604" s="81" t="n">
        <v>369</v>
      </c>
      <c r="T604" s="81" t="s">
        <v>1005</v>
      </c>
      <c r="U604" s="81" t="n">
        <v>354</v>
      </c>
      <c r="V604" s="81" t="s">
        <v>1005</v>
      </c>
      <c r="W604" s="81" t="n">
        <v>232</v>
      </c>
      <c r="X604" s="81" t="s">
        <v>1005</v>
      </c>
      <c r="Y604" s="81" t="n">
        <v>150</v>
      </c>
      <c r="Z604" s="81" t="s">
        <v>1005</v>
      </c>
      <c r="AA604" s="81" t="n">
        <v>207</v>
      </c>
      <c r="AB604" s="81" t="s">
        <v>1005</v>
      </c>
      <c r="AC604" s="81" t="n">
        <v>308</v>
      </c>
      <c r="AD604" s="81" t="s">
        <v>1005</v>
      </c>
      <c r="AE604" s="90" t="n">
        <v>308</v>
      </c>
      <c r="AF604" s="81" t="s">
        <v>1005</v>
      </c>
      <c r="AG604" s="81" t="n">
        <f aca="false">209+188</f>
        <v>397</v>
      </c>
      <c r="AH604" s="81" t="s">
        <v>1005</v>
      </c>
      <c r="AI604" s="81" t="n">
        <f aca="false">258+231</f>
        <v>489</v>
      </c>
      <c r="AJ604" s="81" t="s">
        <v>1005</v>
      </c>
      <c r="AK604" s="81" t="n">
        <f aca="false">332+151</f>
        <v>483</v>
      </c>
      <c r="AL604" s="81" t="s">
        <v>1005</v>
      </c>
      <c r="AM604" s="81" t="n">
        <f aca="false">O604+Q604+S604+U604+W604+Y604+AA604+AC604+AE604+AG604+AI604+AK604</f>
        <v>4329</v>
      </c>
    </row>
    <row collapsed="false" customFormat="false" customHeight="true" hidden="false" ht="16.2" outlineLevel="0" r="605">
      <c r="A605" s="80" t="n">
        <v>316</v>
      </c>
      <c r="B605" s="81" t="s">
        <v>474</v>
      </c>
      <c r="C605" s="82" t="s">
        <v>1033</v>
      </c>
      <c r="D605" s="82" t="s">
        <v>1034</v>
      </c>
      <c r="E605" s="83" t="s">
        <v>1035</v>
      </c>
      <c r="F605" s="84" t="s">
        <v>1036</v>
      </c>
      <c r="G605" s="85"/>
      <c r="H605" s="85"/>
      <c r="I605" s="85"/>
      <c r="J605" s="85"/>
      <c r="K605" s="86" t="s">
        <v>53</v>
      </c>
      <c r="L605" s="86" t="s">
        <v>53</v>
      </c>
      <c r="M605" s="90"/>
      <c r="N605" s="90"/>
      <c r="O605" s="90"/>
      <c r="P605" s="90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  <c r="AC605" s="81"/>
      <c r="AD605" s="81"/>
      <c r="AE605" s="90"/>
      <c r="AF605" s="81"/>
      <c r="AG605" s="81"/>
      <c r="AH605" s="81"/>
      <c r="AI605" s="81"/>
      <c r="AJ605" s="81"/>
      <c r="AK605" s="81"/>
      <c r="AL605" s="81"/>
      <c r="AM605" s="81" t="n">
        <f aca="false">O605+Q605+S605+U605+W605+Y605+AA605+AC605+AE605+AG605+AI605+AK605</f>
        <v>0</v>
      </c>
    </row>
    <row collapsed="false" customFormat="false" customHeight="true" hidden="false" ht="16.2" outlineLevel="0" r="606">
      <c r="A606" s="80"/>
      <c r="B606" s="89"/>
      <c r="C606" s="85"/>
      <c r="D606" s="85"/>
      <c r="E606" s="83" t="s">
        <v>1037</v>
      </c>
      <c r="F606" s="84" t="s">
        <v>1036</v>
      </c>
      <c r="G606" s="85"/>
      <c r="H606" s="85"/>
      <c r="I606" s="85"/>
      <c r="J606" s="85"/>
      <c r="K606" s="86"/>
      <c r="L606" s="86"/>
      <c r="M606" s="90" t="n">
        <f aca="false">2687+1921</f>
        <v>4608</v>
      </c>
      <c r="N606" s="91" t="n">
        <f aca="false">2924+3510</f>
        <v>6434</v>
      </c>
      <c r="O606" s="90" t="n">
        <v>583</v>
      </c>
      <c r="P606" s="90" t="s">
        <v>1005</v>
      </c>
      <c r="Q606" s="81" t="n">
        <v>657</v>
      </c>
      <c r="R606" s="90" t="s">
        <v>1005</v>
      </c>
      <c r="S606" s="81" t="n">
        <v>518</v>
      </c>
      <c r="T606" s="81" t="s">
        <v>1005</v>
      </c>
      <c r="U606" s="81" t="n">
        <v>450</v>
      </c>
      <c r="V606" s="81" t="s">
        <v>1005</v>
      </c>
      <c r="W606" s="81" t="n">
        <v>353</v>
      </c>
      <c r="X606" s="81" t="s">
        <v>1005</v>
      </c>
      <c r="Y606" s="81" t="n">
        <v>174</v>
      </c>
      <c r="Z606" s="81" t="s">
        <v>1005</v>
      </c>
      <c r="AA606" s="81" t="n">
        <v>313</v>
      </c>
      <c r="AB606" s="81" t="s">
        <v>1005</v>
      </c>
      <c r="AC606" s="81" t="n">
        <v>467</v>
      </c>
      <c r="AD606" s="81" t="s">
        <v>1005</v>
      </c>
      <c r="AE606" s="90" t="n">
        <v>467</v>
      </c>
      <c r="AF606" s="81" t="s">
        <v>1005</v>
      </c>
      <c r="AG606" s="81" t="n">
        <f aca="false">265+203</f>
        <v>468</v>
      </c>
      <c r="AH606" s="81" t="s">
        <v>1005</v>
      </c>
      <c r="AI606" s="81" t="n">
        <f aca="false">336+240</f>
        <v>576</v>
      </c>
      <c r="AJ606" s="81" t="s">
        <v>1005</v>
      </c>
      <c r="AK606" s="81" t="n">
        <f aca="false">247+172</f>
        <v>419</v>
      </c>
      <c r="AL606" s="81" t="s">
        <v>1005</v>
      </c>
      <c r="AM606" s="81" t="n">
        <f aca="false">O606+Q606+S606+U606+W606+Y606+AA606+AC606+AE606+AG606+AI606+AK606</f>
        <v>5445</v>
      </c>
    </row>
    <row collapsed="false" customFormat="false" customHeight="true" hidden="false" ht="16.2" outlineLevel="0" r="607">
      <c r="A607" s="80" t="n">
        <v>317</v>
      </c>
      <c r="B607" s="81" t="s">
        <v>475</v>
      </c>
      <c r="C607" s="82" t="s">
        <v>1033</v>
      </c>
      <c r="D607" s="82" t="s">
        <v>1034</v>
      </c>
      <c r="E607" s="83" t="s">
        <v>1035</v>
      </c>
      <c r="F607" s="84" t="s">
        <v>1036</v>
      </c>
      <c r="G607" s="85"/>
      <c r="H607" s="85"/>
      <c r="I607" s="85"/>
      <c r="J607" s="85"/>
      <c r="K607" s="86" t="s">
        <v>53</v>
      </c>
      <c r="L607" s="86" t="s">
        <v>53</v>
      </c>
      <c r="M607" s="90" t="n">
        <f aca="false">19480+5420</f>
        <v>24900</v>
      </c>
      <c r="N607" s="90" t="n">
        <f aca="false">12840+4678</f>
        <v>17518</v>
      </c>
      <c r="O607" s="90"/>
      <c r="P607" s="90"/>
      <c r="Q607" s="81"/>
      <c r="R607" s="81"/>
      <c r="S607" s="81"/>
      <c r="T607" s="81"/>
      <c r="U607" s="81"/>
      <c r="V607" s="81"/>
      <c r="W607" s="81"/>
      <c r="X607" s="81"/>
      <c r="Y607" s="81" t="n">
        <v>1881</v>
      </c>
      <c r="Z607" s="81"/>
      <c r="AA607" s="81" t="n">
        <v>1741</v>
      </c>
      <c r="AB607" s="81"/>
      <c r="AC607" s="81" t="n">
        <v>2116</v>
      </c>
      <c r="AD607" s="81"/>
      <c r="AE607" s="90" t="n">
        <v>2116</v>
      </c>
      <c r="AF607" s="81"/>
      <c r="AG607" s="81" t="n">
        <f aca="false">1395+358</f>
        <v>1753</v>
      </c>
      <c r="AH607" s="81"/>
      <c r="AI607" s="81" t="n">
        <f aca="false">1823+470</f>
        <v>2293</v>
      </c>
      <c r="AJ607" s="81"/>
      <c r="AK607" s="81" t="n">
        <f aca="false">891+382</f>
        <v>1273</v>
      </c>
      <c r="AL607" s="81"/>
      <c r="AM607" s="81" t="n">
        <f aca="false">O607+Q607+S607+U607+W607+Y607+AA607+AC607+AE607+AG607+AI607+AK607</f>
        <v>13173</v>
      </c>
    </row>
    <row collapsed="false" customFormat="false" customHeight="true" hidden="false" ht="16.2" outlineLevel="0" r="608">
      <c r="A608" s="80"/>
      <c r="B608" s="89"/>
      <c r="C608" s="85"/>
      <c r="D608" s="85"/>
      <c r="E608" s="83" t="s">
        <v>1037</v>
      </c>
      <c r="F608" s="84" t="s">
        <v>1036</v>
      </c>
      <c r="G608" s="85"/>
      <c r="H608" s="85"/>
      <c r="I608" s="85"/>
      <c r="J608" s="85"/>
      <c r="K608" s="86"/>
      <c r="L608" s="86"/>
      <c r="M608" s="90" t="n">
        <f aca="false">8265+14056</f>
        <v>22321</v>
      </c>
      <c r="N608" s="91" t="n">
        <f aca="false">6721+11335</f>
        <v>18056</v>
      </c>
      <c r="O608" s="90" t="n">
        <v>4066</v>
      </c>
      <c r="P608" s="90" t="s">
        <v>1061</v>
      </c>
      <c r="Q608" s="81" t="n">
        <v>4066</v>
      </c>
      <c r="R608" s="81" t="s">
        <v>1061</v>
      </c>
      <c r="S608" s="81" t="n">
        <v>4767</v>
      </c>
      <c r="T608" s="81" t="s">
        <v>1061</v>
      </c>
      <c r="U608" s="81" t="n">
        <v>4767</v>
      </c>
      <c r="V608" s="81" t="s">
        <v>1005</v>
      </c>
      <c r="W608" s="81" t="n">
        <v>3371</v>
      </c>
      <c r="X608" s="81" t="s">
        <v>1005</v>
      </c>
      <c r="Y608" s="81" t="n">
        <v>965</v>
      </c>
      <c r="Z608" s="81" t="s">
        <v>1005</v>
      </c>
      <c r="AA608" s="81" t="n">
        <v>987</v>
      </c>
      <c r="AB608" s="81" t="s">
        <v>1005</v>
      </c>
      <c r="AC608" s="81" t="n">
        <v>1785</v>
      </c>
      <c r="AD608" s="81" t="s">
        <v>1005</v>
      </c>
      <c r="AE608" s="90" t="n">
        <v>1785</v>
      </c>
      <c r="AF608" s="81" t="s">
        <v>1005</v>
      </c>
      <c r="AG608" s="81" t="n">
        <f aca="false">728+959</f>
        <v>1687</v>
      </c>
      <c r="AH608" s="81" t="s">
        <v>1005</v>
      </c>
      <c r="AI608" s="81" t="n">
        <f aca="false">1444+1485</f>
        <v>2929</v>
      </c>
      <c r="AJ608" s="81" t="s">
        <v>1005</v>
      </c>
      <c r="AK608" s="81" t="n">
        <f aca="false">1570+1347</f>
        <v>2917</v>
      </c>
      <c r="AL608" s="81" t="s">
        <v>1005</v>
      </c>
      <c r="AM608" s="81" t="n">
        <f aca="false">O608+Q608+S608+U608+W608+Y608+AA608+AC608+AE608+AG608+AI608+AK608</f>
        <v>34092</v>
      </c>
    </row>
    <row collapsed="false" customFormat="false" customHeight="true" hidden="false" ht="16.2" outlineLevel="0" r="609">
      <c r="A609" s="80" t="n">
        <v>318</v>
      </c>
      <c r="B609" s="81" t="s">
        <v>476</v>
      </c>
      <c r="C609" s="82" t="s">
        <v>1033</v>
      </c>
      <c r="D609" s="82" t="s">
        <v>1034</v>
      </c>
      <c r="E609" s="83" t="s">
        <v>1035</v>
      </c>
      <c r="F609" s="84" t="s">
        <v>1036</v>
      </c>
      <c r="G609" s="85"/>
      <c r="H609" s="85"/>
      <c r="I609" s="85"/>
      <c r="J609" s="85"/>
      <c r="K609" s="86" t="s">
        <v>53</v>
      </c>
      <c r="L609" s="86" t="s">
        <v>53</v>
      </c>
      <c r="M609" s="90" t="n">
        <f aca="false">5590+3901</f>
        <v>9491</v>
      </c>
      <c r="N609" s="90" t="n">
        <f aca="false">6003+5006</f>
        <v>11009</v>
      </c>
      <c r="O609" s="90" t="n">
        <v>1080</v>
      </c>
      <c r="P609" s="90"/>
      <c r="Q609" s="81" t="n">
        <v>966</v>
      </c>
      <c r="R609" s="90" t="s">
        <v>1005</v>
      </c>
      <c r="S609" s="81" t="n">
        <v>886</v>
      </c>
      <c r="T609" s="81"/>
      <c r="U609" s="81" t="n">
        <v>800</v>
      </c>
      <c r="V609" s="81"/>
      <c r="W609" s="81" t="n">
        <v>889</v>
      </c>
      <c r="X609" s="81"/>
      <c r="Y609" s="81" t="n">
        <v>930</v>
      </c>
      <c r="Z609" s="81"/>
      <c r="AA609" s="81" t="n">
        <v>720</v>
      </c>
      <c r="AB609" s="81"/>
      <c r="AC609" s="81" t="n">
        <v>779</v>
      </c>
      <c r="AD609" s="81"/>
      <c r="AE609" s="90" t="n">
        <v>779</v>
      </c>
      <c r="AF609" s="81"/>
      <c r="AG609" s="81" t="n">
        <f aca="false">523+313</f>
        <v>836</v>
      </c>
      <c r="AH609" s="81"/>
      <c r="AI609" s="81" t="n">
        <f aca="false">709+407</f>
        <v>1116</v>
      </c>
      <c r="AJ609" s="81"/>
      <c r="AK609" s="81" t="n">
        <f aca="false">692+371</f>
        <v>1063</v>
      </c>
      <c r="AL609" s="81"/>
      <c r="AM609" s="81" t="n">
        <f aca="false">O609+Q609+S609+U609+W609+Y609+AA609+AC609+AE609+AG609+AI609+AK609</f>
        <v>10844</v>
      </c>
    </row>
    <row collapsed="false" customFormat="false" customHeight="true" hidden="false" ht="16.2" outlineLevel="0" r="610">
      <c r="A610" s="80"/>
      <c r="B610" s="89"/>
      <c r="C610" s="85"/>
      <c r="D610" s="85"/>
      <c r="E610" s="83" t="s">
        <v>1037</v>
      </c>
      <c r="F610" s="84" t="s">
        <v>1036</v>
      </c>
      <c r="G610" s="85"/>
      <c r="H610" s="85"/>
      <c r="I610" s="85"/>
      <c r="J610" s="85"/>
      <c r="K610" s="86"/>
      <c r="L610" s="86"/>
      <c r="M610" s="90" t="n">
        <f aca="false">7238+3704</f>
        <v>10942</v>
      </c>
      <c r="N610" s="91" t="n">
        <f aca="false">7394+3415</f>
        <v>10809</v>
      </c>
      <c r="O610" s="90" t="n">
        <v>1103</v>
      </c>
      <c r="P610" s="90" t="s">
        <v>1005</v>
      </c>
      <c r="Q610" s="81" t="n">
        <v>977</v>
      </c>
      <c r="R610" s="90" t="s">
        <v>1005</v>
      </c>
      <c r="S610" s="81" t="n">
        <v>990</v>
      </c>
      <c r="T610" s="81" t="s">
        <v>1005</v>
      </c>
      <c r="U610" s="81" t="n">
        <v>952</v>
      </c>
      <c r="V610" s="81" t="s">
        <v>1005</v>
      </c>
      <c r="W610" s="81" t="n">
        <v>889</v>
      </c>
      <c r="X610" s="81" t="s">
        <v>1005</v>
      </c>
      <c r="Y610" s="81" t="n">
        <v>1089</v>
      </c>
      <c r="Z610" s="81" t="s">
        <v>1005</v>
      </c>
      <c r="AA610" s="81" t="n">
        <v>999</v>
      </c>
      <c r="AB610" s="81" t="s">
        <v>1005</v>
      </c>
      <c r="AC610" s="81" t="n">
        <v>661</v>
      </c>
      <c r="AD610" s="81" t="s">
        <v>1005</v>
      </c>
      <c r="AE610" s="90" t="n">
        <v>661</v>
      </c>
      <c r="AF610" s="81" t="s">
        <v>1005</v>
      </c>
      <c r="AG610" s="81" t="n">
        <f aca="false">500+255</f>
        <v>755</v>
      </c>
      <c r="AH610" s="81" t="s">
        <v>1005</v>
      </c>
      <c r="AI610" s="81" t="n">
        <f aca="false">522+263</f>
        <v>785</v>
      </c>
      <c r="AJ610" s="81" t="s">
        <v>1005</v>
      </c>
      <c r="AK610" s="81" t="n">
        <f aca="false">417+210</f>
        <v>627</v>
      </c>
      <c r="AL610" s="81" t="s">
        <v>1005</v>
      </c>
      <c r="AM610" s="81" t="n">
        <f aca="false">O610+Q610+S610+U610+W610+Y610+AA610+AC610+AE610+AG610+AI610+AK610</f>
        <v>10488</v>
      </c>
    </row>
    <row collapsed="false" customFormat="false" customHeight="true" hidden="false" ht="16.2" outlineLevel="0" r="611">
      <c r="A611" s="80" t="n">
        <v>319</v>
      </c>
      <c r="B611" s="81" t="s">
        <v>477</v>
      </c>
      <c r="C611" s="82" t="s">
        <v>1033</v>
      </c>
      <c r="D611" s="82" t="s">
        <v>1034</v>
      </c>
      <c r="E611" s="83" t="s">
        <v>1035</v>
      </c>
      <c r="F611" s="84" t="s">
        <v>1036</v>
      </c>
      <c r="G611" s="85"/>
      <c r="H611" s="85"/>
      <c r="I611" s="85"/>
      <c r="J611" s="85"/>
      <c r="K611" s="86" t="s">
        <v>53</v>
      </c>
      <c r="L611" s="86" t="s">
        <v>53</v>
      </c>
      <c r="M611" s="90" t="n">
        <f aca="false">10408+2096</f>
        <v>12504</v>
      </c>
      <c r="N611" s="90" t="n">
        <f aca="false">10861</f>
        <v>10861</v>
      </c>
      <c r="O611" s="90" t="n">
        <v>1010</v>
      </c>
      <c r="P611" s="90"/>
      <c r="Q611" s="81" t="n">
        <v>920</v>
      </c>
      <c r="R611" s="90" t="s">
        <v>1005</v>
      </c>
      <c r="S611" s="81" t="n">
        <v>960</v>
      </c>
      <c r="T611" s="81"/>
      <c r="U611" s="81" t="n">
        <v>920</v>
      </c>
      <c r="V611" s="81"/>
      <c r="W611" s="81" t="n">
        <v>1147</v>
      </c>
      <c r="X611" s="81"/>
      <c r="Y611" s="81" t="n">
        <v>890</v>
      </c>
      <c r="Z611" s="81"/>
      <c r="AA611" s="81" t="n">
        <v>990</v>
      </c>
      <c r="AB611" s="81"/>
      <c r="AC611" s="81" t="n">
        <v>610</v>
      </c>
      <c r="AD611" s="81"/>
      <c r="AE611" s="90" t="n">
        <v>610</v>
      </c>
      <c r="AF611" s="81"/>
      <c r="AG611" s="81" t="n">
        <f aca="false">1280</f>
        <v>1280</v>
      </c>
      <c r="AH611" s="81"/>
      <c r="AI611" s="81" t="n">
        <f aca="false">1050</f>
        <v>1050</v>
      </c>
      <c r="AJ611" s="81"/>
      <c r="AK611" s="81" t="n">
        <f aca="false">850</f>
        <v>850</v>
      </c>
      <c r="AL611" s="81"/>
      <c r="AM611" s="81" t="n">
        <f aca="false">O611+Q611+S611+U611+W611+Y611+AA611+AC611+AE611+AG611+AI611+AK611</f>
        <v>11237</v>
      </c>
    </row>
    <row collapsed="false" customFormat="false" customHeight="true" hidden="false" ht="16.2" outlineLevel="0" r="612">
      <c r="A612" s="80"/>
      <c r="B612" s="89"/>
      <c r="C612" s="85"/>
      <c r="D612" s="85"/>
      <c r="E612" s="83" t="s">
        <v>1037</v>
      </c>
      <c r="F612" s="84" t="s">
        <v>1036</v>
      </c>
      <c r="G612" s="85"/>
      <c r="H612" s="85"/>
      <c r="I612" s="85"/>
      <c r="J612" s="85"/>
      <c r="K612" s="86"/>
      <c r="L612" s="86"/>
      <c r="M612" s="90" t="n">
        <f aca="false">4349+1695</f>
        <v>6044</v>
      </c>
      <c r="N612" s="91" t="n">
        <f aca="false">4425+4817</f>
        <v>9242</v>
      </c>
      <c r="O612" s="90" t="n">
        <v>1103</v>
      </c>
      <c r="P612" s="90" t="s">
        <v>1005</v>
      </c>
      <c r="Q612" s="81" t="n">
        <v>910</v>
      </c>
      <c r="R612" s="90" t="s">
        <v>1005</v>
      </c>
      <c r="S612" s="81" t="n">
        <v>841</v>
      </c>
      <c r="T612" s="81" t="s">
        <v>1005</v>
      </c>
      <c r="U612" s="81" t="n">
        <v>813</v>
      </c>
      <c r="V612" s="81" t="s">
        <v>1005</v>
      </c>
      <c r="W612" s="81" t="n">
        <v>786</v>
      </c>
      <c r="X612" s="81" t="s">
        <v>1005</v>
      </c>
      <c r="Y612" s="81" t="n">
        <v>720</v>
      </c>
      <c r="Z612" s="81" t="s">
        <v>1005</v>
      </c>
      <c r="AA612" s="81" t="n">
        <v>675</v>
      </c>
      <c r="AB612" s="81" t="s">
        <v>1005</v>
      </c>
      <c r="AC612" s="81" t="n">
        <v>746</v>
      </c>
      <c r="AD612" s="81" t="s">
        <v>1005</v>
      </c>
      <c r="AE612" s="90" t="n">
        <v>746</v>
      </c>
      <c r="AF612" s="81" t="s">
        <v>1005</v>
      </c>
      <c r="AG612" s="81" t="n">
        <f aca="false">404+458</f>
        <v>862</v>
      </c>
      <c r="AH612" s="81" t="s">
        <v>1005</v>
      </c>
      <c r="AI612" s="81" t="n">
        <f aca="false">630+559</f>
        <v>1189</v>
      </c>
      <c r="AJ612" s="81" t="s">
        <v>1005</v>
      </c>
      <c r="AK612" s="81" t="n">
        <f aca="false">547+410</f>
        <v>957</v>
      </c>
      <c r="AL612" s="81" t="s">
        <v>1005</v>
      </c>
      <c r="AM612" s="81" t="n">
        <f aca="false">O612+Q612+S612+U612+W612+Y612+AA612+AC612+AE612+AG612+AI612+AK612</f>
        <v>10348</v>
      </c>
    </row>
    <row collapsed="false" customFormat="false" customHeight="true" hidden="false" ht="16.2" outlineLevel="0" r="613">
      <c r="A613" s="80" t="n">
        <v>320</v>
      </c>
      <c r="B613" s="81" t="s">
        <v>478</v>
      </c>
      <c r="C613" s="82" t="s">
        <v>1033</v>
      </c>
      <c r="D613" s="82" t="s">
        <v>1034</v>
      </c>
      <c r="E613" s="83" t="s">
        <v>1035</v>
      </c>
      <c r="F613" s="84" t="s">
        <v>1036</v>
      </c>
      <c r="G613" s="85"/>
      <c r="H613" s="85"/>
      <c r="I613" s="85"/>
      <c r="J613" s="85"/>
      <c r="K613" s="86" t="s">
        <v>53</v>
      </c>
      <c r="L613" s="86" t="s">
        <v>53</v>
      </c>
      <c r="M613" s="90" t="n">
        <f aca="false">2740+1124</f>
        <v>3864</v>
      </c>
      <c r="N613" s="91" t="n">
        <f aca="false">5940+2711</f>
        <v>8651</v>
      </c>
      <c r="O613" s="90" t="n">
        <v>650</v>
      </c>
      <c r="P613" s="90"/>
      <c r="Q613" s="81" t="n">
        <v>570</v>
      </c>
      <c r="R613" s="90" t="s">
        <v>1005</v>
      </c>
      <c r="S613" s="81" t="n">
        <v>600</v>
      </c>
      <c r="T613" s="81"/>
      <c r="U613" s="81" t="n">
        <v>620</v>
      </c>
      <c r="V613" s="81"/>
      <c r="W613" s="81" t="n">
        <v>750</v>
      </c>
      <c r="X613" s="81"/>
      <c r="Y613" s="81" t="n">
        <v>640</v>
      </c>
      <c r="Z613" s="81"/>
      <c r="AA613" s="81" t="n">
        <v>670</v>
      </c>
      <c r="AB613" s="81"/>
      <c r="AC613" s="81" t="n">
        <v>610</v>
      </c>
      <c r="AD613" s="81"/>
      <c r="AE613" s="90" t="n">
        <v>610</v>
      </c>
      <c r="AF613" s="81"/>
      <c r="AG613" s="81" t="n">
        <f aca="false">490+190</f>
        <v>680</v>
      </c>
      <c r="AH613" s="81"/>
      <c r="AI613" s="81" t="n">
        <f aca="false">460+180</f>
        <v>640</v>
      </c>
      <c r="AJ613" s="81"/>
      <c r="AK613" s="81" t="n">
        <f aca="false">400+160</f>
        <v>560</v>
      </c>
      <c r="AL613" s="81"/>
      <c r="AM613" s="81" t="n">
        <f aca="false">O613+Q613+S613+U613+W613+Y613+AA613+AC613+AE613+AG613+AI613+AK613</f>
        <v>7600</v>
      </c>
    </row>
    <row collapsed="false" customFormat="false" customHeight="true" hidden="false" ht="16.2" outlineLevel="0" r="614">
      <c r="A614" s="80"/>
      <c r="B614" s="89"/>
      <c r="C614" s="85"/>
      <c r="D614" s="85"/>
      <c r="E614" s="83" t="s">
        <v>1037</v>
      </c>
      <c r="F614" s="84" t="s">
        <v>1036</v>
      </c>
      <c r="G614" s="85"/>
      <c r="H614" s="85"/>
      <c r="I614" s="85"/>
      <c r="J614" s="85"/>
      <c r="K614" s="86"/>
      <c r="L614" s="86"/>
      <c r="M614" s="90" t="n">
        <f aca="false">2016+2982</f>
        <v>4998</v>
      </c>
      <c r="N614" s="91" t="n">
        <f aca="false">2219+5143</f>
        <v>7362</v>
      </c>
      <c r="O614" s="90" t="n">
        <v>555</v>
      </c>
      <c r="P614" s="90" t="s">
        <v>1005</v>
      </c>
      <c r="Q614" s="81" t="n">
        <v>446</v>
      </c>
      <c r="R614" s="90" t="s">
        <v>1005</v>
      </c>
      <c r="S614" s="81" t="n">
        <v>495</v>
      </c>
      <c r="T614" s="81" t="s">
        <v>1005</v>
      </c>
      <c r="U614" s="81" t="n">
        <v>356</v>
      </c>
      <c r="V614" s="81" t="s">
        <v>1005</v>
      </c>
      <c r="W614" s="81" t="n">
        <v>339</v>
      </c>
      <c r="X614" s="81" t="s">
        <v>1005</v>
      </c>
      <c r="Y614" s="81" t="n">
        <v>289</v>
      </c>
      <c r="Z614" s="81" t="s">
        <v>1005</v>
      </c>
      <c r="AA614" s="81" t="n">
        <v>252</v>
      </c>
      <c r="AB614" s="81" t="s">
        <v>1005</v>
      </c>
      <c r="AC614" s="81" t="n">
        <v>310</v>
      </c>
      <c r="AD614" s="81" t="s">
        <v>1005</v>
      </c>
      <c r="AE614" s="90" t="n">
        <v>310</v>
      </c>
      <c r="AF614" s="81" t="s">
        <v>1005</v>
      </c>
      <c r="AG614" s="81" t="n">
        <f aca="false">208+222</f>
        <v>430</v>
      </c>
      <c r="AH614" s="81" t="s">
        <v>1005</v>
      </c>
      <c r="AI614" s="81" t="n">
        <f aca="false">331+303</f>
        <v>634</v>
      </c>
      <c r="AJ614" s="81" t="s">
        <v>1005</v>
      </c>
      <c r="AK614" s="81" t="n">
        <f aca="false">296+235</f>
        <v>531</v>
      </c>
      <c r="AL614" s="81" t="s">
        <v>1005</v>
      </c>
      <c r="AM614" s="81" t="n">
        <f aca="false">O614+Q614+S614+U614+W614+Y614+AA614+AC614+AE614+AG614+AI614+AK614</f>
        <v>4947</v>
      </c>
    </row>
    <row collapsed="false" customFormat="false" customHeight="true" hidden="false" ht="16.2" outlineLevel="0" r="615">
      <c r="A615" s="80" t="n">
        <v>321</v>
      </c>
      <c r="B615" s="81" t="s">
        <v>479</v>
      </c>
      <c r="C615" s="82" t="s">
        <v>1033</v>
      </c>
      <c r="D615" s="82" t="s">
        <v>1034</v>
      </c>
      <c r="E615" s="83" t="s">
        <v>1035</v>
      </c>
      <c r="F615" s="84" t="s">
        <v>1036</v>
      </c>
      <c r="G615" s="85"/>
      <c r="H615" s="85"/>
      <c r="I615" s="85"/>
      <c r="J615" s="85"/>
      <c r="K615" s="86" t="s">
        <v>53</v>
      </c>
      <c r="L615" s="86" t="s">
        <v>53</v>
      </c>
      <c r="M615" s="90" t="n">
        <f aca="false">16510+3880</f>
        <v>20390</v>
      </c>
      <c r="N615" s="90" t="n">
        <f aca="false">9720+4144</f>
        <v>13864</v>
      </c>
      <c r="O615" s="90"/>
      <c r="P615" s="90"/>
      <c r="Q615" s="81"/>
      <c r="R615" s="81"/>
      <c r="S615" s="81"/>
      <c r="T615" s="81"/>
      <c r="U615" s="81"/>
      <c r="V615" s="81"/>
      <c r="W615" s="81"/>
      <c r="X615" s="81"/>
      <c r="Y615" s="81" t="n">
        <v>2670</v>
      </c>
      <c r="Z615" s="81"/>
      <c r="AA615" s="81" t="n">
        <v>1860</v>
      </c>
      <c r="AB615" s="81"/>
      <c r="AC615" s="81" t="n">
        <v>2865</v>
      </c>
      <c r="AD615" s="81"/>
      <c r="AE615" s="90" t="n">
        <v>2865</v>
      </c>
      <c r="AF615" s="81"/>
      <c r="AG615" s="81" t="n">
        <f aca="false">2085+525</f>
        <v>2610</v>
      </c>
      <c r="AH615" s="81"/>
      <c r="AI615" s="81" t="n">
        <f aca="false">2430+585</f>
        <v>3015</v>
      </c>
      <c r="AJ615" s="81"/>
      <c r="AK615" s="81" t="n">
        <f aca="false">1965+480</f>
        <v>2445</v>
      </c>
      <c r="AL615" s="81"/>
      <c r="AM615" s="81" t="n">
        <f aca="false">O615+Q615+S615+U615+W615+Y615+AA615+AC615+AE615+AG615+AI615+AK615</f>
        <v>18330</v>
      </c>
    </row>
    <row collapsed="false" customFormat="false" customHeight="true" hidden="false" ht="16.2" outlineLevel="0" r="616">
      <c r="A616" s="80"/>
      <c r="B616" s="89"/>
      <c r="C616" s="85"/>
      <c r="D616" s="85"/>
      <c r="E616" s="83" t="s">
        <v>1037</v>
      </c>
      <c r="F616" s="84" t="s">
        <v>1036</v>
      </c>
      <c r="G616" s="85"/>
      <c r="H616" s="85"/>
      <c r="I616" s="85"/>
      <c r="J616" s="85"/>
      <c r="K616" s="86"/>
      <c r="L616" s="86"/>
      <c r="M616" s="90" t="n">
        <f aca="false">5902+9947</f>
        <v>15849</v>
      </c>
      <c r="N616" s="91" t="n">
        <f aca="false">8220+7933</f>
        <v>16153</v>
      </c>
      <c r="O616" s="90" t="n">
        <v>2516</v>
      </c>
      <c r="P616" s="90" t="s">
        <v>1061</v>
      </c>
      <c r="Q616" s="81" t="n">
        <v>3593</v>
      </c>
      <c r="R616" s="81" t="s">
        <v>1061</v>
      </c>
      <c r="S616" s="81" t="n">
        <v>3852</v>
      </c>
      <c r="T616" s="81" t="s">
        <v>1061</v>
      </c>
      <c r="U616" s="81" t="n">
        <v>3852</v>
      </c>
      <c r="V616" s="81" t="s">
        <v>1061</v>
      </c>
      <c r="W616" s="81" t="n">
        <v>3898</v>
      </c>
      <c r="X616" s="81" t="s">
        <v>1005</v>
      </c>
      <c r="Y616" s="81" t="n">
        <v>958</v>
      </c>
      <c r="Z616" s="81" t="s">
        <v>1005</v>
      </c>
      <c r="AA616" s="81" t="n">
        <v>1082</v>
      </c>
      <c r="AB616" s="81" t="s">
        <v>1005</v>
      </c>
      <c r="AC616" s="81" t="n">
        <v>1821</v>
      </c>
      <c r="AD616" s="81" t="s">
        <v>1005</v>
      </c>
      <c r="AE616" s="90" t="n">
        <v>1821</v>
      </c>
      <c r="AF616" s="81" t="s">
        <v>1005</v>
      </c>
      <c r="AG616" s="81" t="n">
        <f aca="false">1049+1326</f>
        <v>2375</v>
      </c>
      <c r="AH616" s="81" t="s">
        <v>1005</v>
      </c>
      <c r="AI616" s="81" t="n">
        <f aca="false">1784+1619</f>
        <v>3403</v>
      </c>
      <c r="AJ616" s="81" t="s">
        <v>1005</v>
      </c>
      <c r="AK616" s="81" t="n">
        <f aca="false">1717+1347</f>
        <v>3064</v>
      </c>
      <c r="AL616" s="81" t="s">
        <v>1005</v>
      </c>
      <c r="AM616" s="81" t="n">
        <f aca="false">O616+Q616+S616+U616+W616+Y616+AA616+AC616+AE616+AG616+AI616+AK616</f>
        <v>32235</v>
      </c>
    </row>
    <row collapsed="false" customFormat="false" customHeight="true" hidden="false" ht="16.2" outlineLevel="0" r="617">
      <c r="A617" s="80" t="n">
        <v>322</v>
      </c>
      <c r="B617" s="81" t="s">
        <v>480</v>
      </c>
      <c r="C617" s="82" t="s">
        <v>1033</v>
      </c>
      <c r="D617" s="82" t="s">
        <v>1034</v>
      </c>
      <c r="E617" s="83" t="s">
        <v>1035</v>
      </c>
      <c r="F617" s="84" t="s">
        <v>1036</v>
      </c>
      <c r="G617" s="85"/>
      <c r="H617" s="85"/>
      <c r="I617" s="85"/>
      <c r="J617" s="85"/>
      <c r="K617" s="86" t="s">
        <v>53</v>
      </c>
      <c r="L617" s="86" t="s">
        <v>53</v>
      </c>
      <c r="M617" s="90"/>
      <c r="N617" s="90"/>
      <c r="O617" s="90"/>
      <c r="P617" s="90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  <c r="AC617" s="81"/>
      <c r="AD617" s="81"/>
      <c r="AE617" s="90"/>
      <c r="AF617" s="81"/>
      <c r="AG617" s="81"/>
      <c r="AH617" s="81"/>
      <c r="AI617" s="81"/>
      <c r="AJ617" s="81"/>
      <c r="AK617" s="81"/>
      <c r="AL617" s="81"/>
      <c r="AM617" s="81" t="n">
        <f aca="false">O617+Q617+S617+U617+W617+Y617+AA617+AC617+AE617+AG617+AI617+AK617</f>
        <v>0</v>
      </c>
    </row>
    <row collapsed="false" customFormat="false" customHeight="true" hidden="false" ht="16.2" outlineLevel="0" r="618">
      <c r="A618" s="80"/>
      <c r="B618" s="89"/>
      <c r="C618" s="85"/>
      <c r="D618" s="85"/>
      <c r="E618" s="83" t="s">
        <v>1037</v>
      </c>
      <c r="F618" s="84" t="s">
        <v>1036</v>
      </c>
      <c r="G618" s="85"/>
      <c r="H618" s="85"/>
      <c r="I618" s="85"/>
      <c r="J618" s="85"/>
      <c r="K618" s="86"/>
      <c r="L618" s="86"/>
      <c r="M618" s="90" t="n">
        <f aca="false">3532+3459</f>
        <v>6991</v>
      </c>
      <c r="N618" s="91" t="n">
        <f aca="false">5113+6151</f>
        <v>11264</v>
      </c>
      <c r="O618" s="90" t="n">
        <v>1800</v>
      </c>
      <c r="P618" s="90" t="s">
        <v>1005</v>
      </c>
      <c r="Q618" s="81" t="n">
        <v>1365</v>
      </c>
      <c r="R618" s="90" t="s">
        <v>1005</v>
      </c>
      <c r="S618" s="81" t="n">
        <v>1158</v>
      </c>
      <c r="T618" s="81" t="s">
        <v>1005</v>
      </c>
      <c r="U618" s="81" t="n">
        <v>945</v>
      </c>
      <c r="V618" s="81" t="s">
        <v>1005</v>
      </c>
      <c r="W618" s="81" t="n">
        <v>893</v>
      </c>
      <c r="X618" s="81" t="s">
        <v>1005</v>
      </c>
      <c r="Y618" s="81" t="n">
        <v>762</v>
      </c>
      <c r="Z618" s="81" t="s">
        <v>1005</v>
      </c>
      <c r="AA618" s="81" t="n">
        <v>684</v>
      </c>
      <c r="AB618" s="81" t="s">
        <v>1005</v>
      </c>
      <c r="AC618" s="81" t="n">
        <v>986</v>
      </c>
      <c r="AD618" s="81" t="s">
        <v>1005</v>
      </c>
      <c r="AE618" s="90" t="n">
        <v>986</v>
      </c>
      <c r="AF618" s="81" t="s">
        <v>1005</v>
      </c>
      <c r="AG618" s="81" t="n">
        <f aca="false">502+623</f>
        <v>1125</v>
      </c>
      <c r="AH618" s="81" t="s">
        <v>1005</v>
      </c>
      <c r="AI618" s="81" t="n">
        <f aca="false">837+734</f>
        <v>1571</v>
      </c>
      <c r="AJ618" s="81" t="s">
        <v>1005</v>
      </c>
      <c r="AK618" s="81" t="n">
        <f aca="false">747+576</f>
        <v>1323</v>
      </c>
      <c r="AL618" s="81" t="s">
        <v>1005</v>
      </c>
      <c r="AM618" s="81" t="n">
        <f aca="false">O618+Q618+S618+U618+W618+Y618+AA618+AC618+AE618+AG618+AI618+AK618</f>
        <v>13598</v>
      </c>
    </row>
    <row collapsed="false" customFormat="false" customHeight="true" hidden="false" ht="16.2" outlineLevel="0" r="619">
      <c r="A619" s="80" t="n">
        <v>323</v>
      </c>
      <c r="B619" s="81" t="s">
        <v>481</v>
      </c>
      <c r="C619" s="82" t="s">
        <v>1033</v>
      </c>
      <c r="D619" s="82" t="s">
        <v>1034</v>
      </c>
      <c r="E619" s="83" t="s">
        <v>1035</v>
      </c>
      <c r="F619" s="84" t="s">
        <v>1036</v>
      </c>
      <c r="G619" s="85"/>
      <c r="H619" s="85"/>
      <c r="I619" s="85"/>
      <c r="J619" s="85"/>
      <c r="K619" s="86" t="s">
        <v>53</v>
      </c>
      <c r="L619" s="86" t="s">
        <v>53</v>
      </c>
      <c r="M619" s="90"/>
      <c r="N619" s="90"/>
      <c r="O619" s="90"/>
      <c r="P619" s="90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  <c r="AC619" s="81"/>
      <c r="AD619" s="81"/>
      <c r="AE619" s="90"/>
      <c r="AF619" s="81"/>
      <c r="AG619" s="81"/>
      <c r="AH619" s="81"/>
      <c r="AI619" s="81"/>
      <c r="AJ619" s="81"/>
      <c r="AK619" s="81"/>
      <c r="AL619" s="81"/>
      <c r="AM619" s="81" t="n">
        <f aca="false">O619+Q619+S619+U619+W619+Y619+AA619+AC619+AE619+AG619+AI619+AK619</f>
        <v>0</v>
      </c>
    </row>
    <row collapsed="false" customFormat="false" customHeight="true" hidden="false" ht="16.2" outlineLevel="0" r="620">
      <c r="A620" s="80"/>
      <c r="B620" s="89"/>
      <c r="C620" s="85"/>
      <c r="D620" s="85"/>
      <c r="E620" s="83" t="s">
        <v>1037</v>
      </c>
      <c r="F620" s="84" t="s">
        <v>1036</v>
      </c>
      <c r="G620" s="85"/>
      <c r="H620" s="85"/>
      <c r="I620" s="85"/>
      <c r="J620" s="85"/>
      <c r="K620" s="86"/>
      <c r="L620" s="86"/>
      <c r="M620" s="90" t="n">
        <f aca="false">3860+4776</f>
        <v>8636</v>
      </c>
      <c r="N620" s="91" t="n">
        <f aca="false">4696+3866</f>
        <v>8562</v>
      </c>
      <c r="O620" s="90" t="n">
        <v>1114</v>
      </c>
      <c r="P620" s="90" t="s">
        <v>1005</v>
      </c>
      <c r="Q620" s="81" t="n">
        <v>841</v>
      </c>
      <c r="R620" s="90" t="s">
        <v>1005</v>
      </c>
      <c r="S620" s="81" t="n">
        <v>785</v>
      </c>
      <c r="T620" s="81" t="s">
        <v>1005</v>
      </c>
      <c r="U620" s="81" t="n">
        <v>674</v>
      </c>
      <c r="V620" s="81" t="s">
        <v>1005</v>
      </c>
      <c r="W620" s="81" t="n">
        <v>676</v>
      </c>
      <c r="X620" s="81" t="s">
        <v>1005</v>
      </c>
      <c r="Y620" s="81" t="n">
        <v>448</v>
      </c>
      <c r="Z620" s="81" t="s">
        <v>1005</v>
      </c>
      <c r="AA620" s="81" t="n">
        <v>382</v>
      </c>
      <c r="AB620" s="81" t="s">
        <v>1005</v>
      </c>
      <c r="AC620" s="81" t="n">
        <v>602</v>
      </c>
      <c r="AD620" s="81" t="s">
        <v>1005</v>
      </c>
      <c r="AE620" s="90" t="n">
        <v>602</v>
      </c>
      <c r="AF620" s="81" t="s">
        <v>1005</v>
      </c>
      <c r="AG620" s="81" t="n">
        <f aca="false">364+408</f>
        <v>772</v>
      </c>
      <c r="AH620" s="81" t="s">
        <v>1005</v>
      </c>
      <c r="AI620" s="81" t="n">
        <f aca="false">615+506</f>
        <v>1121</v>
      </c>
      <c r="AJ620" s="81" t="s">
        <v>1005</v>
      </c>
      <c r="AK620" s="81" t="n">
        <f aca="false">580+421</f>
        <v>1001</v>
      </c>
      <c r="AL620" s="81" t="s">
        <v>1005</v>
      </c>
      <c r="AM620" s="81" t="n">
        <f aca="false">O620+Q620+S620+U620+W620+Y620+AA620+AC620+AE620+AG620+AI620+AK620</f>
        <v>9018</v>
      </c>
    </row>
    <row collapsed="false" customFormat="false" customHeight="true" hidden="false" ht="16.2" outlineLevel="0" r="621">
      <c r="A621" s="80" t="n">
        <v>324</v>
      </c>
      <c r="B621" s="81" t="s">
        <v>482</v>
      </c>
      <c r="C621" s="82" t="s">
        <v>1033</v>
      </c>
      <c r="D621" s="82" t="s">
        <v>1034</v>
      </c>
      <c r="E621" s="83" t="s">
        <v>1035</v>
      </c>
      <c r="F621" s="84" t="s">
        <v>1036</v>
      </c>
      <c r="G621" s="85"/>
      <c r="H621" s="85"/>
      <c r="I621" s="85"/>
      <c r="J621" s="85"/>
      <c r="K621" s="86" t="s">
        <v>53</v>
      </c>
      <c r="L621" s="86" t="s">
        <v>53</v>
      </c>
      <c r="M621" s="90" t="n">
        <f aca="false">22800+5700</f>
        <v>28500</v>
      </c>
      <c r="N621" s="90" t="n">
        <f aca="false">13190+4681</f>
        <v>17871</v>
      </c>
      <c r="O621" s="90"/>
      <c r="P621" s="90"/>
      <c r="Q621" s="81"/>
      <c r="R621" s="81"/>
      <c r="S621" s="81"/>
      <c r="T621" s="81"/>
      <c r="U621" s="81"/>
      <c r="V621" s="81"/>
      <c r="W621" s="81"/>
      <c r="X621" s="81"/>
      <c r="Y621" s="81" t="n">
        <v>1334</v>
      </c>
      <c r="Z621" s="81"/>
      <c r="AA621" s="81" t="n">
        <v>1919</v>
      </c>
      <c r="AB621" s="81"/>
      <c r="AC621" s="81" t="n">
        <v>2366</v>
      </c>
      <c r="AD621" s="81"/>
      <c r="AE621" s="90" t="n">
        <v>2366</v>
      </c>
      <c r="AF621" s="81"/>
      <c r="AG621" s="81" t="n">
        <f aca="false">1688+364</f>
        <v>2052</v>
      </c>
      <c r="AH621" s="81"/>
      <c r="AI621" s="81" t="n">
        <f aca="false">2012+441</f>
        <v>2453</v>
      </c>
      <c r="AJ621" s="81"/>
      <c r="AK621" s="81" t="n">
        <f aca="false">1667+377</f>
        <v>2044</v>
      </c>
      <c r="AL621" s="81"/>
      <c r="AM621" s="81" t="n">
        <f aca="false">O621+Q621+S621+U621+W621+Y621+AA621+AC621+AE621+AG621+AI621+AK621</f>
        <v>14534</v>
      </c>
    </row>
    <row collapsed="false" customFormat="false" customHeight="true" hidden="false" ht="16.2" outlineLevel="0" r="622">
      <c r="A622" s="80"/>
      <c r="B622" s="89"/>
      <c r="C622" s="85"/>
      <c r="D622" s="85"/>
      <c r="E622" s="83" t="s">
        <v>1037</v>
      </c>
      <c r="F622" s="84" t="s">
        <v>1036</v>
      </c>
      <c r="G622" s="85"/>
      <c r="H622" s="85"/>
      <c r="I622" s="85"/>
      <c r="J622" s="85"/>
      <c r="K622" s="86"/>
      <c r="L622" s="86"/>
      <c r="M622" s="90" t="n">
        <f aca="false">9038+12755</f>
        <v>21793</v>
      </c>
      <c r="N622" s="91" t="n">
        <f aca="false">7985+7416</f>
        <v>15401</v>
      </c>
      <c r="O622" s="90" t="n">
        <v>5724</v>
      </c>
      <c r="P622" s="90" t="s">
        <v>1061</v>
      </c>
      <c r="Q622" s="81" t="n">
        <v>4546</v>
      </c>
      <c r="R622" s="81" t="s">
        <v>1061</v>
      </c>
      <c r="S622" s="81" t="n">
        <v>4205</v>
      </c>
      <c r="T622" s="81" t="s">
        <v>1061</v>
      </c>
      <c r="U622" s="81" t="n">
        <v>4205</v>
      </c>
      <c r="V622" s="81" t="s">
        <v>1061</v>
      </c>
      <c r="W622" s="81" t="n">
        <v>3400</v>
      </c>
      <c r="X622" s="81" t="s">
        <v>1005</v>
      </c>
      <c r="Y622" s="81" t="n">
        <v>812</v>
      </c>
      <c r="Z622" s="81" t="s">
        <v>1005</v>
      </c>
      <c r="AA622" s="81" t="n">
        <v>1278</v>
      </c>
      <c r="AB622" s="81" t="s">
        <v>1005</v>
      </c>
      <c r="AC622" s="81" t="n">
        <v>2021</v>
      </c>
      <c r="AD622" s="81" t="s">
        <v>1005</v>
      </c>
      <c r="AE622" s="90" t="n">
        <v>2021</v>
      </c>
      <c r="AF622" s="81" t="s">
        <v>1005</v>
      </c>
      <c r="AG622" s="81" t="n">
        <f aca="false">1137+1283</f>
        <v>2420</v>
      </c>
      <c r="AH622" s="81" t="s">
        <v>1005</v>
      </c>
      <c r="AI622" s="81" t="n">
        <f aca="false">1780+1576</f>
        <v>3356</v>
      </c>
      <c r="AJ622" s="81" t="s">
        <v>1005</v>
      </c>
      <c r="AK622" s="81" t="n">
        <f aca="false">1646+1332</f>
        <v>2978</v>
      </c>
      <c r="AL622" s="81" t="s">
        <v>1005</v>
      </c>
      <c r="AM622" s="81" t="n">
        <f aca="false">O622+Q622+S622+U622+W622+Y622+AA622+AC622+AE622+AG622+AI622+AK622</f>
        <v>36966</v>
      </c>
    </row>
    <row collapsed="false" customFormat="false" customHeight="true" hidden="false" ht="16.2" outlineLevel="0" r="623">
      <c r="A623" s="80" t="n">
        <v>325</v>
      </c>
      <c r="B623" s="81" t="s">
        <v>483</v>
      </c>
      <c r="C623" s="82" t="s">
        <v>1033</v>
      </c>
      <c r="D623" s="82" t="s">
        <v>1034</v>
      </c>
      <c r="E623" s="83" t="s">
        <v>1035</v>
      </c>
      <c r="F623" s="84" t="s">
        <v>1036</v>
      </c>
      <c r="G623" s="85"/>
      <c r="H623" s="85"/>
      <c r="I623" s="85"/>
      <c r="J623" s="85"/>
      <c r="K623" s="86" t="s">
        <v>53</v>
      </c>
      <c r="L623" s="86" t="s">
        <v>53</v>
      </c>
      <c r="M623" s="90" t="n">
        <f aca="false">1160+372</f>
        <v>1532</v>
      </c>
      <c r="N623" s="90" t="n">
        <f aca="false">892+316</f>
        <v>1208</v>
      </c>
      <c r="O623" s="90" t="n">
        <v>140</v>
      </c>
      <c r="P623" s="90"/>
      <c r="Q623" s="81" t="n">
        <v>128</v>
      </c>
      <c r="R623" s="81"/>
      <c r="S623" s="81" t="n">
        <v>52</v>
      </c>
      <c r="T623" s="81"/>
      <c r="U623" s="81" t="n">
        <v>140</v>
      </c>
      <c r="V623" s="81"/>
      <c r="W623" s="81" t="n">
        <v>164</v>
      </c>
      <c r="X623" s="81"/>
      <c r="Y623" s="81" t="n">
        <v>164</v>
      </c>
      <c r="Z623" s="81"/>
      <c r="AA623" s="81" t="n">
        <v>136</v>
      </c>
      <c r="AB623" s="81"/>
      <c r="AC623" s="81" t="n">
        <v>132</v>
      </c>
      <c r="AD623" s="81"/>
      <c r="AE623" s="90" t="n">
        <v>132</v>
      </c>
      <c r="AF623" s="81"/>
      <c r="AG623" s="81" t="n">
        <f aca="false">112+40</f>
        <v>152</v>
      </c>
      <c r="AH623" s="81"/>
      <c r="AI623" s="81" t="n">
        <f aca="false">113+36</f>
        <v>149</v>
      </c>
      <c r="AJ623" s="81"/>
      <c r="AK623" s="81" t="n">
        <f aca="false">92+32</f>
        <v>124</v>
      </c>
      <c r="AL623" s="81"/>
      <c r="AM623" s="81" t="n">
        <f aca="false">O623+Q623+S623+U623+W623+Y623+AA623+AC623+AE623+AG623+AI623+AK623</f>
        <v>1613</v>
      </c>
    </row>
    <row collapsed="false" customFormat="false" customHeight="true" hidden="false" ht="16.2" outlineLevel="0" r="624">
      <c r="A624" s="80"/>
      <c r="B624" s="89"/>
      <c r="C624" s="85"/>
      <c r="D624" s="85"/>
      <c r="E624" s="83" t="s">
        <v>1037</v>
      </c>
      <c r="F624" s="84" t="s">
        <v>1036</v>
      </c>
      <c r="G624" s="85"/>
      <c r="H624" s="85"/>
      <c r="I624" s="85"/>
      <c r="J624" s="85"/>
      <c r="K624" s="86"/>
      <c r="L624" s="86"/>
      <c r="M624" s="90" t="n">
        <f aca="false">3533+2221</f>
        <v>5754</v>
      </c>
      <c r="N624" s="91" t="n">
        <f aca="false">4411+3297</f>
        <v>7708</v>
      </c>
      <c r="O624" s="90" t="n">
        <v>790</v>
      </c>
      <c r="P624" s="90" t="s">
        <v>1005</v>
      </c>
      <c r="Q624" s="81" t="n">
        <v>980</v>
      </c>
      <c r="R624" s="81"/>
      <c r="S624" s="81" t="n">
        <v>682</v>
      </c>
      <c r="T624" s="81" t="s">
        <v>1005</v>
      </c>
      <c r="U624" s="81" t="n">
        <v>659</v>
      </c>
      <c r="V624" s="81" t="s">
        <v>1005</v>
      </c>
      <c r="W624" s="81" t="n">
        <v>693</v>
      </c>
      <c r="X624" s="81" t="s">
        <v>1005</v>
      </c>
      <c r="Y624" s="81" t="n">
        <v>743</v>
      </c>
      <c r="Z624" s="81" t="s">
        <v>1005</v>
      </c>
      <c r="AA624" s="81" t="n">
        <v>587</v>
      </c>
      <c r="AB624" s="81" t="s">
        <v>1005</v>
      </c>
      <c r="AC624" s="81" t="n">
        <v>607</v>
      </c>
      <c r="AD624" s="81" t="s">
        <v>1005</v>
      </c>
      <c r="AE624" s="90" t="n">
        <v>607</v>
      </c>
      <c r="AF624" s="81" t="s">
        <v>1005</v>
      </c>
      <c r="AG624" s="81" t="n">
        <f aca="false">393+293</f>
        <v>686</v>
      </c>
      <c r="AH624" s="81" t="s">
        <v>1005</v>
      </c>
      <c r="AI624" s="81" t="n">
        <f aca="false">448+299</f>
        <v>747</v>
      </c>
      <c r="AJ624" s="81" t="s">
        <v>1005</v>
      </c>
      <c r="AK624" s="81" t="n">
        <f aca="false">393+252</f>
        <v>645</v>
      </c>
      <c r="AL624" s="81" t="s">
        <v>1005</v>
      </c>
      <c r="AM624" s="81" t="n">
        <f aca="false">O624+Q624+S624+U624+W624+Y624+AA624+AC624+AE624+AG624+AI624+AK624</f>
        <v>8426</v>
      </c>
    </row>
    <row collapsed="false" customFormat="false" customHeight="true" hidden="false" ht="16.2" outlineLevel="0" r="625">
      <c r="A625" s="80" t="n">
        <v>326</v>
      </c>
      <c r="B625" s="81" t="s">
        <v>484</v>
      </c>
      <c r="C625" s="82" t="s">
        <v>1033</v>
      </c>
      <c r="D625" s="82" t="s">
        <v>1034</v>
      </c>
      <c r="E625" s="83" t="s">
        <v>1035</v>
      </c>
      <c r="F625" s="84" t="s">
        <v>1036</v>
      </c>
      <c r="G625" s="85"/>
      <c r="H625" s="85"/>
      <c r="I625" s="85"/>
      <c r="J625" s="85"/>
      <c r="K625" s="86" t="s">
        <v>53</v>
      </c>
      <c r="L625" s="86" t="s">
        <v>53</v>
      </c>
      <c r="M625" s="90" t="n">
        <f aca="false">2928+828</f>
        <v>3756</v>
      </c>
      <c r="N625" s="90" t="n">
        <f aca="false">4628+2354</f>
        <v>6982</v>
      </c>
      <c r="O625" s="90" t="n">
        <v>56</v>
      </c>
      <c r="P625" s="90"/>
      <c r="Q625" s="81" t="n">
        <v>44</v>
      </c>
      <c r="R625" s="81"/>
      <c r="S625" s="81" t="n">
        <v>52</v>
      </c>
      <c r="T625" s="81"/>
      <c r="U625" s="81" t="n">
        <v>48</v>
      </c>
      <c r="V625" s="81"/>
      <c r="W625" s="81" t="n">
        <v>56</v>
      </c>
      <c r="X625" s="81"/>
      <c r="Y625" s="81" t="n">
        <v>60</v>
      </c>
      <c r="Z625" s="81"/>
      <c r="AA625" s="81" t="n">
        <v>52</v>
      </c>
      <c r="AB625" s="81"/>
      <c r="AC625" s="81" t="n">
        <v>224</v>
      </c>
      <c r="AD625" s="81"/>
      <c r="AE625" s="90" t="n">
        <v>224</v>
      </c>
      <c r="AF625" s="81"/>
      <c r="AG625" s="81" t="n">
        <f aca="false">228+44</f>
        <v>272</v>
      </c>
      <c r="AH625" s="81"/>
      <c r="AI625" s="81" t="n">
        <f aca="false">216+48</f>
        <v>264</v>
      </c>
      <c r="AJ625" s="81"/>
      <c r="AK625" s="81" t="n">
        <f aca="false">176+40</f>
        <v>216</v>
      </c>
      <c r="AL625" s="81"/>
      <c r="AM625" s="81" t="n">
        <f aca="false">O625+Q625+S625+U625+W625+Y625+AA625+AC625+AE625+AG625+AI625+AK625</f>
        <v>1568</v>
      </c>
    </row>
    <row collapsed="false" customFormat="false" customHeight="true" hidden="false" ht="16.2" outlineLevel="0" r="626">
      <c r="A626" s="80"/>
      <c r="B626" s="89"/>
      <c r="C626" s="85"/>
      <c r="D626" s="85"/>
      <c r="E626" s="83" t="s">
        <v>1037</v>
      </c>
      <c r="F626" s="84" t="s">
        <v>1036</v>
      </c>
      <c r="G626" s="85"/>
      <c r="H626" s="85"/>
      <c r="I626" s="85"/>
      <c r="J626" s="85"/>
      <c r="K626" s="86"/>
      <c r="L626" s="86"/>
      <c r="M626" s="90" t="n">
        <f aca="false">5368+4353</f>
        <v>9721</v>
      </c>
      <c r="N626" s="91" t="n">
        <f aca="false">4372+2793</f>
        <v>7165</v>
      </c>
      <c r="O626" s="90" t="n">
        <v>891</v>
      </c>
      <c r="P626" s="90" t="s">
        <v>1005</v>
      </c>
      <c r="Q626" s="81" t="n">
        <v>980</v>
      </c>
      <c r="R626" s="81"/>
      <c r="S626" s="81" t="n">
        <v>900</v>
      </c>
      <c r="T626" s="81" t="s">
        <v>1005</v>
      </c>
      <c r="U626" s="81" t="n">
        <v>614</v>
      </c>
      <c r="V626" s="81" t="s">
        <v>1005</v>
      </c>
      <c r="W626" s="81" t="n">
        <v>811</v>
      </c>
      <c r="X626" s="81" t="s">
        <v>1005</v>
      </c>
      <c r="Y626" s="81" t="n">
        <v>729</v>
      </c>
      <c r="Z626" s="81" t="s">
        <v>1005</v>
      </c>
      <c r="AA626" s="81" t="n">
        <v>753</v>
      </c>
      <c r="AB626" s="81" t="s">
        <v>1005</v>
      </c>
      <c r="AC626" s="81" t="n">
        <v>725</v>
      </c>
      <c r="AD626" s="81" t="s">
        <v>1005</v>
      </c>
      <c r="AE626" s="90" t="n">
        <v>725</v>
      </c>
      <c r="AF626" s="81" t="s">
        <v>1005</v>
      </c>
      <c r="AG626" s="81" t="n">
        <f aca="false">460+352</f>
        <v>812</v>
      </c>
      <c r="AH626" s="81" t="s">
        <v>1005</v>
      </c>
      <c r="AI626" s="81" t="n">
        <f aca="false">563+395</f>
        <v>958</v>
      </c>
      <c r="AJ626" s="81" t="s">
        <v>1005</v>
      </c>
      <c r="AK626" s="81" t="n">
        <f aca="false">428+318</f>
        <v>746</v>
      </c>
      <c r="AL626" s="81" t="s">
        <v>1005</v>
      </c>
      <c r="AM626" s="81" t="n">
        <f aca="false">O626+Q626+S626+U626+W626+Y626+AA626+AC626+AE626+AG626+AI626+AK626</f>
        <v>9644</v>
      </c>
    </row>
    <row collapsed="false" customFormat="false" customHeight="true" hidden="false" ht="16.2" outlineLevel="0" r="627">
      <c r="A627" s="80" t="n">
        <v>327</v>
      </c>
      <c r="B627" s="81" t="s">
        <v>485</v>
      </c>
      <c r="C627" s="82" t="s">
        <v>1033</v>
      </c>
      <c r="D627" s="82" t="s">
        <v>1034</v>
      </c>
      <c r="E627" s="83" t="s">
        <v>1035</v>
      </c>
      <c r="F627" s="84" t="s">
        <v>1036</v>
      </c>
      <c r="G627" s="85"/>
      <c r="H627" s="85"/>
      <c r="I627" s="85"/>
      <c r="J627" s="85"/>
      <c r="K627" s="86" t="s">
        <v>53</v>
      </c>
      <c r="L627" s="86" t="s">
        <v>53</v>
      </c>
      <c r="M627" s="90" t="n">
        <f aca="false">4746+762</f>
        <v>5508</v>
      </c>
      <c r="N627" s="90" t="n">
        <f aca="false">4372+1805</f>
        <v>6177</v>
      </c>
      <c r="O627" s="90" t="n">
        <v>490</v>
      </c>
      <c r="P627" s="90"/>
      <c r="Q627" s="81" t="n">
        <v>444</v>
      </c>
      <c r="R627" s="81"/>
      <c r="S627" s="81" t="n">
        <v>431</v>
      </c>
      <c r="T627" s="81"/>
      <c r="U627" s="81" t="n">
        <v>468</v>
      </c>
      <c r="V627" s="81"/>
      <c r="W627" s="81" t="n">
        <v>532</v>
      </c>
      <c r="X627" s="81"/>
      <c r="Y627" s="81" t="n">
        <v>564</v>
      </c>
      <c r="Z627" s="81"/>
      <c r="AA627" s="81" t="n">
        <v>448</v>
      </c>
      <c r="AB627" s="81"/>
      <c r="AC627" s="81" t="n">
        <v>435</v>
      </c>
      <c r="AD627" s="81"/>
      <c r="AE627" s="90" t="n">
        <v>435</v>
      </c>
      <c r="AF627" s="81"/>
      <c r="AG627" s="81" t="n">
        <f aca="false">442+68</f>
        <v>510</v>
      </c>
      <c r="AH627" s="81"/>
      <c r="AI627" s="81" t="n">
        <f aca="false">450+81</f>
        <v>531</v>
      </c>
      <c r="AJ627" s="81"/>
      <c r="AK627" s="81" t="n">
        <f aca="false">364+69</f>
        <v>433</v>
      </c>
      <c r="AL627" s="81"/>
      <c r="AM627" s="81" t="n">
        <f aca="false">O627+Q627+S627+U627+W627+Y627+AA627+AC627+AE627+AG627+AI627+AK627</f>
        <v>5721</v>
      </c>
    </row>
    <row collapsed="false" customFormat="false" customHeight="true" hidden="false" ht="16.2" outlineLevel="0" r="628">
      <c r="A628" s="80"/>
      <c r="B628" s="89"/>
      <c r="C628" s="85"/>
      <c r="D628" s="85"/>
      <c r="E628" s="83" t="s">
        <v>1037</v>
      </c>
      <c r="F628" s="84" t="s">
        <v>1036</v>
      </c>
      <c r="G628" s="85"/>
      <c r="H628" s="85"/>
      <c r="I628" s="85"/>
      <c r="J628" s="85"/>
      <c r="K628" s="86"/>
      <c r="L628" s="86"/>
      <c r="M628" s="90" t="n">
        <f aca="false">4507+3361</f>
        <v>7868</v>
      </c>
      <c r="N628" s="91" t="n">
        <f aca="false">6097+5802</f>
        <v>11899</v>
      </c>
      <c r="O628" s="90" t="n">
        <v>1407</v>
      </c>
      <c r="P628" s="90" t="s">
        <v>1005</v>
      </c>
      <c r="Q628" s="81" t="n">
        <v>1229</v>
      </c>
      <c r="R628" s="81"/>
      <c r="S628" s="81" t="n">
        <v>1160</v>
      </c>
      <c r="T628" s="81" t="s">
        <v>1005</v>
      </c>
      <c r="U628" s="81" t="n">
        <v>1056</v>
      </c>
      <c r="V628" s="81" t="s">
        <v>1005</v>
      </c>
      <c r="W628" s="81" t="n">
        <v>991</v>
      </c>
      <c r="X628" s="81" t="s">
        <v>1005</v>
      </c>
      <c r="Y628" s="81" t="n">
        <v>856</v>
      </c>
      <c r="Z628" s="81" t="s">
        <v>1005</v>
      </c>
      <c r="AA628" s="81" t="n">
        <v>694</v>
      </c>
      <c r="AB628" s="81" t="s">
        <v>1005</v>
      </c>
      <c r="AC628" s="81" t="n">
        <v>1045</v>
      </c>
      <c r="AD628" s="81" t="s">
        <v>1005</v>
      </c>
      <c r="AE628" s="90" t="n">
        <v>1045</v>
      </c>
      <c r="AF628" s="81" t="s">
        <v>1005</v>
      </c>
      <c r="AG628" s="81" t="n">
        <f aca="false">474+748</f>
        <v>1222</v>
      </c>
      <c r="AH628" s="81" t="s">
        <v>1005</v>
      </c>
      <c r="AI628" s="81" t="n">
        <f aca="false">591+872</f>
        <v>1463</v>
      </c>
      <c r="AJ628" s="81" t="s">
        <v>1005</v>
      </c>
      <c r="AK628" s="81" t="n">
        <f aca="false">509+691</f>
        <v>1200</v>
      </c>
      <c r="AL628" s="81" t="s">
        <v>1005</v>
      </c>
      <c r="AM628" s="81" t="n">
        <f aca="false">O628+Q628+S628+U628+W628+Y628+AA628+AC628+AE628+AG628+AI628+AK628</f>
        <v>13368</v>
      </c>
    </row>
    <row collapsed="false" customFormat="false" customHeight="true" hidden="false" ht="16.2" outlineLevel="0" r="629">
      <c r="A629" s="80" t="n">
        <v>328</v>
      </c>
      <c r="B629" s="81" t="s">
        <v>486</v>
      </c>
      <c r="C629" s="82" t="s">
        <v>1033</v>
      </c>
      <c r="D629" s="82" t="s">
        <v>1034</v>
      </c>
      <c r="E629" s="83" t="s">
        <v>1035</v>
      </c>
      <c r="F629" s="84" t="s">
        <v>1036</v>
      </c>
      <c r="G629" s="85"/>
      <c r="H629" s="85"/>
      <c r="I629" s="85"/>
      <c r="J629" s="85"/>
      <c r="K629" s="86" t="s">
        <v>53</v>
      </c>
      <c r="L629" s="86" t="s">
        <v>53</v>
      </c>
      <c r="M629" s="90"/>
      <c r="N629" s="90"/>
      <c r="O629" s="90"/>
      <c r="P629" s="90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  <c r="AC629" s="81"/>
      <c r="AD629" s="81"/>
      <c r="AE629" s="90"/>
      <c r="AF629" s="81"/>
      <c r="AG629" s="81"/>
      <c r="AH629" s="81"/>
      <c r="AI629" s="81"/>
      <c r="AJ629" s="81"/>
      <c r="AK629" s="81"/>
      <c r="AL629" s="81"/>
      <c r="AM629" s="81" t="n">
        <f aca="false">O629+Q629+S629+U629+W629+Y629+AA629+AC629+AE629+AG629+AI629+AK629</f>
        <v>0</v>
      </c>
    </row>
    <row collapsed="false" customFormat="false" customHeight="true" hidden="false" ht="16.2" outlineLevel="0" r="630">
      <c r="A630" s="80"/>
      <c r="B630" s="89"/>
      <c r="C630" s="85"/>
      <c r="D630" s="85"/>
      <c r="E630" s="83" t="s">
        <v>1037</v>
      </c>
      <c r="F630" s="84" t="s">
        <v>1036</v>
      </c>
      <c r="G630" s="85"/>
      <c r="H630" s="85"/>
      <c r="I630" s="85"/>
      <c r="J630" s="85"/>
      <c r="K630" s="86"/>
      <c r="L630" s="86"/>
      <c r="M630" s="90" t="n">
        <f aca="false">5310+6406</f>
        <v>11716</v>
      </c>
      <c r="N630" s="91" t="n">
        <f aca="false">6297+6443</f>
        <v>12740</v>
      </c>
      <c r="O630" s="90" t="n">
        <v>1643</v>
      </c>
      <c r="P630" s="90" t="s">
        <v>1005</v>
      </c>
      <c r="Q630" s="81" t="n">
        <v>2092</v>
      </c>
      <c r="R630" s="81"/>
      <c r="S630" s="81" t="n">
        <v>731</v>
      </c>
      <c r="T630" s="81" t="s">
        <v>1005</v>
      </c>
      <c r="U630" s="81" t="n">
        <v>1187</v>
      </c>
      <c r="V630" s="81" t="s">
        <v>1005</v>
      </c>
      <c r="W630" s="81" t="n">
        <v>186</v>
      </c>
      <c r="X630" s="81" t="s">
        <v>1005</v>
      </c>
      <c r="Y630" s="81" t="n">
        <v>772</v>
      </c>
      <c r="Z630" s="81" t="s">
        <v>1005</v>
      </c>
      <c r="AA630" s="81" t="n">
        <v>731</v>
      </c>
      <c r="AB630" s="81" t="s">
        <v>1005</v>
      </c>
      <c r="AC630" s="81" t="n">
        <v>1249</v>
      </c>
      <c r="AD630" s="81" t="s">
        <v>1005</v>
      </c>
      <c r="AE630" s="90" t="n">
        <v>1249</v>
      </c>
      <c r="AF630" s="81" t="s">
        <v>1005</v>
      </c>
      <c r="AG630" s="81" t="n">
        <f aca="false">825+985</f>
        <v>1810</v>
      </c>
      <c r="AH630" s="81" t="s">
        <v>1005</v>
      </c>
      <c r="AI630" s="81" t="n">
        <f aca="false">898+787</f>
        <v>1685</v>
      </c>
      <c r="AJ630" s="81" t="s">
        <v>1005</v>
      </c>
      <c r="AK630" s="81" t="n">
        <f aca="false">1052+867</f>
        <v>1919</v>
      </c>
      <c r="AL630" s="81" t="s">
        <v>1005</v>
      </c>
      <c r="AM630" s="81" t="n">
        <f aca="false">O630+Q630+S630+U630+W630+Y630+AA630+AC630+AE630+AG630+AI630+AK630</f>
        <v>15254</v>
      </c>
    </row>
    <row collapsed="false" customFormat="false" customHeight="true" hidden="false" ht="16.2" outlineLevel="0" r="631">
      <c r="A631" s="80" t="n">
        <v>329</v>
      </c>
      <c r="B631" s="81" t="s">
        <v>487</v>
      </c>
      <c r="C631" s="82" t="s">
        <v>1033</v>
      </c>
      <c r="D631" s="82" t="s">
        <v>1034</v>
      </c>
      <c r="E631" s="83" t="s">
        <v>1035</v>
      </c>
      <c r="F631" s="84" t="s">
        <v>1036</v>
      </c>
      <c r="G631" s="85"/>
      <c r="H631" s="85"/>
      <c r="I631" s="85"/>
      <c r="J631" s="85"/>
      <c r="K631" s="86" t="s">
        <v>53</v>
      </c>
      <c r="L631" s="86" t="s">
        <v>53</v>
      </c>
      <c r="M631" s="90" t="n">
        <f aca="false">4210+1090</f>
        <v>5300</v>
      </c>
      <c r="N631" s="90" t="n">
        <f aca="false">4250+3013</f>
        <v>7263</v>
      </c>
      <c r="O631" s="90" t="n">
        <v>490</v>
      </c>
      <c r="P631" s="90"/>
      <c r="Q631" s="81" t="n">
        <v>460</v>
      </c>
      <c r="R631" s="81"/>
      <c r="S631" s="81" t="n">
        <v>450</v>
      </c>
      <c r="T631" s="81"/>
      <c r="U631" s="81" t="n">
        <v>480</v>
      </c>
      <c r="V631" s="81"/>
      <c r="W631" s="81" t="n">
        <v>540</v>
      </c>
      <c r="X631" s="81"/>
      <c r="Y631" s="81" t="n">
        <v>530</v>
      </c>
      <c r="Z631" s="81"/>
      <c r="AA631" s="81" t="n">
        <v>530</v>
      </c>
      <c r="AB631" s="81"/>
      <c r="AC631" s="81" t="n">
        <v>430</v>
      </c>
      <c r="AD631" s="81"/>
      <c r="AE631" s="90" t="n">
        <v>430</v>
      </c>
      <c r="AF631" s="81"/>
      <c r="AG631" s="81" t="n">
        <f aca="false">390+100</f>
        <v>490</v>
      </c>
      <c r="AH631" s="81"/>
      <c r="AI631" s="81" t="n">
        <f aca="false">440+100</f>
        <v>540</v>
      </c>
      <c r="AJ631" s="81"/>
      <c r="AK631" s="81" t="n">
        <f aca="false">340+80</f>
        <v>420</v>
      </c>
      <c r="AL631" s="81"/>
      <c r="AM631" s="81" t="n">
        <f aca="false">O631+Q631+S631+U631+W631+Y631+AA631+AC631+AE631+AG631+AI631+AK631</f>
        <v>5790</v>
      </c>
    </row>
    <row collapsed="false" customFormat="false" customHeight="true" hidden="false" ht="16.2" outlineLevel="0" r="632">
      <c r="A632" s="80"/>
      <c r="B632" s="89"/>
      <c r="C632" s="85"/>
      <c r="D632" s="85"/>
      <c r="E632" s="83" t="s">
        <v>1037</v>
      </c>
      <c r="F632" s="84" t="s">
        <v>1036</v>
      </c>
      <c r="G632" s="85"/>
      <c r="H632" s="85"/>
      <c r="I632" s="85"/>
      <c r="J632" s="85"/>
      <c r="K632" s="86"/>
      <c r="L632" s="86"/>
      <c r="M632" s="90" t="n">
        <f aca="false">10283+7864</f>
        <v>18147</v>
      </c>
      <c r="N632" s="91" t="n">
        <f aca="false">10157+9238</f>
        <v>19395</v>
      </c>
      <c r="O632" s="90" t="n">
        <v>1999</v>
      </c>
      <c r="P632" s="90" t="s">
        <v>1005</v>
      </c>
      <c r="Q632" s="81" t="n">
        <v>1746</v>
      </c>
      <c r="R632" s="81"/>
      <c r="S632" s="81" t="n">
        <v>1471</v>
      </c>
      <c r="T632" s="81" t="s">
        <v>1005</v>
      </c>
      <c r="U632" s="81" t="n">
        <v>1602</v>
      </c>
      <c r="V632" s="81" t="s">
        <v>1005</v>
      </c>
      <c r="W632" s="81" t="n">
        <v>1697</v>
      </c>
      <c r="X632" s="81" t="s">
        <v>1005</v>
      </c>
      <c r="Y632" s="81" t="n">
        <v>1385</v>
      </c>
      <c r="Z632" s="81" t="s">
        <v>1005</v>
      </c>
      <c r="AA632" s="81" t="n">
        <v>1369</v>
      </c>
      <c r="AB632" s="81" t="s">
        <v>1005</v>
      </c>
      <c r="AC632" s="81" t="n">
        <v>1389</v>
      </c>
      <c r="AD632" s="81" t="s">
        <v>1005</v>
      </c>
      <c r="AE632" s="90" t="n">
        <v>1389</v>
      </c>
      <c r="AF632" s="81" t="s">
        <v>1005</v>
      </c>
      <c r="AG632" s="81" t="n">
        <f aca="false">939+710</f>
        <v>1649</v>
      </c>
      <c r="AH632" s="81" t="s">
        <v>1005</v>
      </c>
      <c r="AI632" s="81" t="n">
        <f aca="false">1163+799</f>
        <v>1962</v>
      </c>
      <c r="AJ632" s="81" t="s">
        <v>1005</v>
      </c>
      <c r="AK632" s="81" t="n">
        <f aca="false">1052+733</f>
        <v>1785</v>
      </c>
      <c r="AL632" s="81" t="s">
        <v>1005</v>
      </c>
      <c r="AM632" s="81" t="n">
        <f aca="false">O632+Q632+S632+U632+W632+Y632+AA632+AC632+AE632+AG632+AI632+AK632</f>
        <v>19443</v>
      </c>
    </row>
    <row collapsed="false" customFormat="false" customHeight="true" hidden="false" ht="16.2" outlineLevel="0" r="633">
      <c r="A633" s="80" t="n">
        <v>330</v>
      </c>
      <c r="B633" s="81" t="s">
        <v>488</v>
      </c>
      <c r="C633" s="82" t="s">
        <v>1033</v>
      </c>
      <c r="D633" s="82" t="s">
        <v>1034</v>
      </c>
      <c r="E633" s="83" t="s">
        <v>1035</v>
      </c>
      <c r="F633" s="84" t="s">
        <v>1036</v>
      </c>
      <c r="G633" s="85"/>
      <c r="H633" s="85"/>
      <c r="I633" s="85"/>
      <c r="J633" s="85"/>
      <c r="K633" s="86" t="s">
        <v>53</v>
      </c>
      <c r="L633" s="86" t="s">
        <v>53</v>
      </c>
      <c r="M633" s="90" t="n">
        <f aca="false">14420+3580</f>
        <v>18000</v>
      </c>
      <c r="N633" s="90" t="n">
        <f aca="false">8940+2833</f>
        <v>11773</v>
      </c>
      <c r="O633" s="90"/>
      <c r="P633" s="90"/>
      <c r="Q633" s="81"/>
      <c r="R633" s="81"/>
      <c r="S633" s="81"/>
      <c r="T633" s="81"/>
      <c r="U633" s="81"/>
      <c r="V633" s="81"/>
      <c r="W633" s="81"/>
      <c r="X633" s="81"/>
      <c r="Y633" s="81" t="n">
        <v>1590</v>
      </c>
      <c r="Z633" s="81"/>
      <c r="AA633" s="81" t="n">
        <v>1455</v>
      </c>
      <c r="AB633" s="81"/>
      <c r="AC633" s="81" t="n">
        <v>1665</v>
      </c>
      <c r="AD633" s="81"/>
      <c r="AE633" s="90" t="n">
        <v>1665</v>
      </c>
      <c r="AF633" s="81"/>
      <c r="AG633" s="81" t="n">
        <f aca="false">1215+300</f>
        <v>1515</v>
      </c>
      <c r="AH633" s="81"/>
      <c r="AI633" s="81" t="n">
        <f aca="false">1425+330</f>
        <v>1755</v>
      </c>
      <c r="AJ633" s="81"/>
      <c r="AK633" s="81" t="n">
        <f aca="false">1140+285</f>
        <v>1425</v>
      </c>
      <c r="AL633" s="81"/>
      <c r="AM633" s="81" t="n">
        <f aca="false">O633+Q633+S633+U633+W633+Y633+AA633+AC633+AE633+AG633+AI633+AK633</f>
        <v>11070</v>
      </c>
    </row>
    <row collapsed="false" customFormat="false" customHeight="true" hidden="false" ht="16.2" outlineLevel="0" r="634">
      <c r="A634" s="80"/>
      <c r="B634" s="89"/>
      <c r="C634" s="85"/>
      <c r="D634" s="85"/>
      <c r="E634" s="83" t="s">
        <v>1037</v>
      </c>
      <c r="F634" s="84" t="s">
        <v>1036</v>
      </c>
      <c r="G634" s="85"/>
      <c r="H634" s="85"/>
      <c r="I634" s="85"/>
      <c r="J634" s="85"/>
      <c r="K634" s="86"/>
      <c r="L634" s="86"/>
      <c r="M634" s="90" t="n">
        <f aca="false">3690+7308</f>
        <v>10998</v>
      </c>
      <c r="N634" s="91" t="n">
        <f aca="false">3290+3596</f>
        <v>6886</v>
      </c>
      <c r="O634" s="90" t="n">
        <v>3614</v>
      </c>
      <c r="P634" s="90" t="s">
        <v>1061</v>
      </c>
      <c r="Q634" s="81" t="n">
        <v>2962</v>
      </c>
      <c r="R634" s="81"/>
      <c r="S634" s="81" t="n">
        <v>2662</v>
      </c>
      <c r="T634" s="81" t="s">
        <v>1061</v>
      </c>
      <c r="U634" s="81" t="n">
        <v>3662</v>
      </c>
      <c r="V634" s="81" t="s">
        <v>1061</v>
      </c>
      <c r="W634" s="81" t="n">
        <v>4100</v>
      </c>
      <c r="X634" s="81" t="s">
        <v>1005</v>
      </c>
      <c r="Y634" s="81" t="n">
        <v>376</v>
      </c>
      <c r="Z634" s="81" t="s">
        <v>1005</v>
      </c>
      <c r="AA634" s="81" t="n">
        <v>1185</v>
      </c>
      <c r="AB634" s="81" t="s">
        <v>1005</v>
      </c>
      <c r="AC634" s="81" t="n">
        <v>2050</v>
      </c>
      <c r="AD634" s="81" t="s">
        <v>1005</v>
      </c>
      <c r="AE634" s="90" t="n">
        <v>2050</v>
      </c>
      <c r="AF634" s="81" t="s">
        <v>1005</v>
      </c>
      <c r="AG634" s="81" t="n">
        <f aca="false">1007+1329</f>
        <v>2336</v>
      </c>
      <c r="AH634" s="81" t="s">
        <v>1005</v>
      </c>
      <c r="AI634" s="81" t="n">
        <f aca="false">1740+1625</f>
        <v>3365</v>
      </c>
      <c r="AJ634" s="81" t="s">
        <v>1005</v>
      </c>
      <c r="AK634" s="81" t="n">
        <f aca="false">1609+1376</f>
        <v>2985</v>
      </c>
      <c r="AL634" s="81" t="s">
        <v>1005</v>
      </c>
      <c r="AM634" s="81" t="n">
        <f aca="false">O634+Q634+S634+U634+W634+Y634+AA634+AC634+AE634+AG634+AI634+AK634</f>
        <v>31347</v>
      </c>
    </row>
    <row collapsed="false" customFormat="false" customHeight="true" hidden="false" ht="16.2" outlineLevel="0" r="635">
      <c r="A635" s="80" t="n">
        <v>331</v>
      </c>
      <c r="B635" s="81"/>
      <c r="C635" s="82" t="s">
        <v>1033</v>
      </c>
      <c r="D635" s="85"/>
      <c r="E635" s="83" t="s">
        <v>1035</v>
      </c>
      <c r="F635" s="49" t="s">
        <v>1036</v>
      </c>
      <c r="G635" s="85"/>
      <c r="H635" s="85"/>
      <c r="I635" s="85"/>
      <c r="J635" s="85"/>
      <c r="K635" s="85"/>
      <c r="L635" s="85"/>
      <c r="M635" s="81"/>
      <c r="N635" s="81"/>
      <c r="O635" s="96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  <c r="AC635" s="81"/>
      <c r="AD635" s="81"/>
      <c r="AE635" s="81"/>
      <c r="AF635" s="81"/>
      <c r="AG635" s="81"/>
      <c r="AH635" s="81"/>
      <c r="AI635" s="81"/>
      <c r="AJ635" s="81"/>
      <c r="AK635" s="81"/>
      <c r="AL635" s="81"/>
      <c r="AM635" s="81"/>
    </row>
    <row collapsed="false" customFormat="false" customHeight="true" hidden="false" ht="16.2" outlineLevel="0" r="636">
      <c r="A636" s="80"/>
      <c r="B636" s="81" t="s">
        <v>490</v>
      </c>
      <c r="C636" s="85"/>
      <c r="D636" s="85" t="s">
        <v>1054</v>
      </c>
      <c r="E636" s="83" t="s">
        <v>1037</v>
      </c>
      <c r="F636" s="49" t="s">
        <v>1036</v>
      </c>
      <c r="G636" s="85" t="s">
        <v>1042</v>
      </c>
      <c r="H636" s="85" t="n">
        <v>4</v>
      </c>
      <c r="I636" s="85" t="s">
        <v>1039</v>
      </c>
      <c r="J636" s="85" t="n">
        <v>1</v>
      </c>
      <c r="K636" s="85" t="s">
        <v>1041</v>
      </c>
      <c r="L636" s="85" t="s">
        <v>1041</v>
      </c>
      <c r="M636" s="81"/>
      <c r="N636" s="81"/>
      <c r="O636" s="96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  <c r="AC636" s="81"/>
      <c r="AD636" s="81"/>
      <c r="AE636" s="81"/>
      <c r="AF636" s="81"/>
      <c r="AG636" s="81"/>
      <c r="AH636" s="81"/>
      <c r="AI636" s="81"/>
      <c r="AJ636" s="81"/>
      <c r="AK636" s="81"/>
      <c r="AL636" s="81"/>
      <c r="AM636" s="81"/>
    </row>
    <row collapsed="false" customFormat="false" customHeight="true" hidden="false" ht="16.2" outlineLevel="0" r="637">
      <c r="A637" s="80" t="n">
        <v>332</v>
      </c>
      <c r="B637" s="100" t="s">
        <v>492</v>
      </c>
      <c r="C637" s="82" t="s">
        <v>1033</v>
      </c>
      <c r="D637" s="92" t="s">
        <v>1056</v>
      </c>
      <c r="E637" s="83" t="s">
        <v>1035</v>
      </c>
      <c r="F637" s="49" t="s">
        <v>1036</v>
      </c>
      <c r="G637" s="92"/>
      <c r="H637" s="85"/>
      <c r="I637" s="85"/>
      <c r="J637" s="85"/>
      <c r="K637" s="93"/>
      <c r="L637" s="93"/>
      <c r="M637" s="81"/>
      <c r="N637" s="81"/>
      <c r="O637" s="90"/>
      <c r="P637" s="95"/>
      <c r="Q637" s="81"/>
      <c r="R637" s="95"/>
      <c r="S637" s="81"/>
      <c r="T637" s="95"/>
      <c r="U637" s="81"/>
      <c r="V637" s="95"/>
      <c r="W637" s="81"/>
      <c r="X637" s="95"/>
      <c r="Y637" s="81"/>
      <c r="Z637" s="95"/>
      <c r="AA637" s="81"/>
      <c r="AB637" s="95"/>
      <c r="AC637" s="81"/>
      <c r="AD637" s="95"/>
      <c r="AE637" s="81"/>
      <c r="AF637" s="95"/>
      <c r="AG637" s="81"/>
      <c r="AH637" s="95"/>
      <c r="AI637" s="81"/>
      <c r="AJ637" s="95"/>
      <c r="AK637" s="81"/>
      <c r="AL637" s="95"/>
      <c r="AM637" s="81"/>
    </row>
    <row collapsed="false" customFormat="false" customHeight="true" hidden="false" ht="16.2" outlineLevel="0" r="638">
      <c r="A638" s="80"/>
      <c r="B638" s="101"/>
      <c r="C638" s="85"/>
      <c r="D638" s="92"/>
      <c r="E638" s="83" t="s">
        <v>1037</v>
      </c>
      <c r="F638" s="49" t="s">
        <v>1036</v>
      </c>
      <c r="G638" s="85" t="s">
        <v>1057</v>
      </c>
      <c r="H638" s="85" t="n">
        <v>12</v>
      </c>
      <c r="I638" s="85"/>
      <c r="J638" s="85"/>
      <c r="K638" s="93" t="s">
        <v>53</v>
      </c>
      <c r="L638" s="93" t="s">
        <v>53</v>
      </c>
      <c r="M638" s="81" t="n">
        <v>5280</v>
      </c>
      <c r="N638" s="81" t="n">
        <v>5501</v>
      </c>
      <c r="O638" s="90" t="n">
        <v>659</v>
      </c>
      <c r="P638" s="95" t="s">
        <v>1005</v>
      </c>
      <c r="Q638" s="81" t="n">
        <v>561</v>
      </c>
      <c r="R638" s="95" t="s">
        <v>1005</v>
      </c>
      <c r="S638" s="81" t="n">
        <v>310</v>
      </c>
      <c r="T638" s="95" t="s">
        <v>1005</v>
      </c>
      <c r="U638" s="81" t="n">
        <v>308</v>
      </c>
      <c r="V638" s="95" t="s">
        <v>1005</v>
      </c>
      <c r="W638" s="81" t="n">
        <v>242</v>
      </c>
      <c r="X638" s="95" t="s">
        <v>1005</v>
      </c>
      <c r="Y638" s="81" t="n">
        <v>210</v>
      </c>
      <c r="Z638" s="95" t="s">
        <v>1005</v>
      </c>
      <c r="AA638" s="81" t="n">
        <v>183</v>
      </c>
      <c r="AB638" s="95" t="s">
        <v>1005</v>
      </c>
      <c r="AC638" s="81" t="n">
        <v>191</v>
      </c>
      <c r="AD638" s="95" t="s">
        <v>1005</v>
      </c>
      <c r="AE638" s="81" t="n">
        <v>328</v>
      </c>
      <c r="AF638" s="95" t="s">
        <v>1005</v>
      </c>
      <c r="AG638" s="81" t="n">
        <v>399</v>
      </c>
      <c r="AH638" s="95" t="s">
        <v>1005</v>
      </c>
      <c r="AI638" s="81" t="n">
        <v>436</v>
      </c>
      <c r="AJ638" s="95" t="s">
        <v>1005</v>
      </c>
      <c r="AK638" s="81" t="n">
        <v>430</v>
      </c>
      <c r="AL638" s="95" t="s">
        <v>1005</v>
      </c>
      <c r="AM638" s="81" t="n">
        <f aca="false">O638+Q638+S638+U638+W638+Y638+AA638+AC638+AE638+AG638+AI638+AK638</f>
        <v>4257</v>
      </c>
    </row>
    <row collapsed="false" customFormat="false" customHeight="true" hidden="false" ht="16.2" outlineLevel="0" r="639">
      <c r="A639" s="80" t="n">
        <v>333</v>
      </c>
      <c r="B639" s="100" t="s">
        <v>493</v>
      </c>
      <c r="C639" s="82" t="s">
        <v>1033</v>
      </c>
      <c r="D639" s="92" t="s">
        <v>1056</v>
      </c>
      <c r="E639" s="83" t="s">
        <v>1035</v>
      </c>
      <c r="F639" s="49" t="s">
        <v>1036</v>
      </c>
      <c r="G639" s="92"/>
      <c r="H639" s="85"/>
      <c r="I639" s="85"/>
      <c r="J639" s="85"/>
      <c r="K639" s="93" t="s">
        <v>53</v>
      </c>
      <c r="L639" s="93" t="s">
        <v>53</v>
      </c>
      <c r="M639" s="81" t="n">
        <v>10258</v>
      </c>
      <c r="N639" s="81" t="n">
        <v>11520</v>
      </c>
      <c r="O639" s="90" t="n">
        <f aca="false">131+447+391</f>
        <v>969</v>
      </c>
      <c r="P639" s="95" t="s">
        <v>1005</v>
      </c>
      <c r="Q639" s="95" t="n">
        <f aca="false">87+365+456</f>
        <v>908</v>
      </c>
      <c r="R639" s="95" t="s">
        <v>1005</v>
      </c>
      <c r="S639" s="95" t="n">
        <f aca="false">37+366+303</f>
        <v>706</v>
      </c>
      <c r="T639" s="95" t="s">
        <v>1005</v>
      </c>
      <c r="U639" s="95" t="n">
        <f aca="false">118+371+390</f>
        <v>879</v>
      </c>
      <c r="V639" s="95" t="s">
        <v>1005</v>
      </c>
      <c r="W639" s="95" t="n">
        <f aca="false">143+411+414</f>
        <v>968</v>
      </c>
      <c r="X639" s="95" t="s">
        <v>1005</v>
      </c>
      <c r="Y639" s="95" t="n">
        <f aca="false">134+377+351</f>
        <v>862</v>
      </c>
      <c r="Z639" s="95" t="s">
        <v>1005</v>
      </c>
      <c r="AA639" s="95" t="n">
        <f aca="false">150+387+376</f>
        <v>913</v>
      </c>
      <c r="AB639" s="95" t="s">
        <v>1005</v>
      </c>
      <c r="AC639" s="95" t="n">
        <f aca="false">144+330+334</f>
        <v>808</v>
      </c>
      <c r="AD639" s="95" t="s">
        <v>1005</v>
      </c>
      <c r="AE639" s="95" t="n">
        <f aca="false">404+163+365</f>
        <v>932</v>
      </c>
      <c r="AF639" s="95" t="s">
        <v>1005</v>
      </c>
      <c r="AG639" s="95" t="n">
        <f aca="false">72+358+335</f>
        <v>765</v>
      </c>
      <c r="AH639" s="95" t="s">
        <v>1005</v>
      </c>
      <c r="AI639" s="95" t="n">
        <f aca="false">67+378+359</f>
        <v>804</v>
      </c>
      <c r="AJ639" s="95" t="s">
        <v>1005</v>
      </c>
      <c r="AK639" s="95" t="n">
        <f aca="false">69+371+369</f>
        <v>809</v>
      </c>
      <c r="AL639" s="95" t="s">
        <v>1005</v>
      </c>
      <c r="AM639" s="81" t="n">
        <f aca="false">O639+Q639+S639+U639+W639+Y639+AA639+AC639+AE639+AG639+AI639+AK639</f>
        <v>10323</v>
      </c>
    </row>
    <row collapsed="false" customFormat="false" customHeight="true" hidden="false" ht="16.2" outlineLevel="0" r="640">
      <c r="A640" s="80"/>
      <c r="B640" s="101"/>
      <c r="C640" s="85"/>
      <c r="D640" s="92"/>
      <c r="E640" s="83" t="s">
        <v>1037</v>
      </c>
      <c r="F640" s="49" t="s">
        <v>1036</v>
      </c>
      <c r="G640" s="85" t="s">
        <v>1057</v>
      </c>
      <c r="H640" s="85" t="n">
        <v>73</v>
      </c>
      <c r="I640" s="85" t="s">
        <v>1046</v>
      </c>
      <c r="J640" s="85" t="n">
        <v>7</v>
      </c>
      <c r="K640" s="93" t="s">
        <v>53</v>
      </c>
      <c r="L640" s="93" t="s">
        <v>53</v>
      </c>
      <c r="M640" s="81" t="n">
        <v>19563</v>
      </c>
      <c r="N640" s="81" t="n">
        <v>20056</v>
      </c>
      <c r="O640" s="90" t="n">
        <f aca="false">652+942+352</f>
        <v>1946</v>
      </c>
      <c r="P640" s="95" t="s">
        <v>1005</v>
      </c>
      <c r="Q640" s="81" t="n">
        <f aca="false">730+1038+370</f>
        <v>2138</v>
      </c>
      <c r="R640" s="95" t="s">
        <v>1005</v>
      </c>
      <c r="S640" s="81" t="n">
        <f aca="false">503+624+246</f>
        <v>1373</v>
      </c>
      <c r="T640" s="95" t="s">
        <v>1005</v>
      </c>
      <c r="U640" s="81" t="n">
        <f aca="false">535+683+263</f>
        <v>1481</v>
      </c>
      <c r="V640" s="95" t="s">
        <v>1005</v>
      </c>
      <c r="W640" s="81" t="n">
        <f aca="false">552+662+259</f>
        <v>1473</v>
      </c>
      <c r="X640" s="95" t="s">
        <v>1005</v>
      </c>
      <c r="Y640" s="81" t="n">
        <f aca="false">582+412+176</f>
        <v>1170</v>
      </c>
      <c r="Z640" s="95" t="s">
        <v>1005</v>
      </c>
      <c r="AA640" s="81" t="n">
        <f aca="false">670+423+191</f>
        <v>1284</v>
      </c>
      <c r="AB640" s="95" t="s">
        <v>1005</v>
      </c>
      <c r="AC640" s="81" t="n">
        <f aca="false">533+464+192</f>
        <v>1189</v>
      </c>
      <c r="AD640" s="95" t="s">
        <v>1005</v>
      </c>
      <c r="AE640" s="81" t="n">
        <f aca="false">598+621+20</f>
        <v>1239</v>
      </c>
      <c r="AF640" s="95" t="s">
        <v>1005</v>
      </c>
      <c r="AG640" s="81" t="n">
        <f aca="false">623+739+301</f>
        <v>1663</v>
      </c>
      <c r="AH640" s="95" t="s">
        <v>1005</v>
      </c>
      <c r="AI640" s="81" t="n">
        <f aca="false">659+816+357</f>
        <v>1832</v>
      </c>
      <c r="AJ640" s="95" t="s">
        <v>1005</v>
      </c>
      <c r="AK640" s="81" t="n">
        <f aca="false">649+806+351</f>
        <v>1806</v>
      </c>
      <c r="AL640" s="95" t="s">
        <v>1005</v>
      </c>
      <c r="AM640" s="81" t="n">
        <f aca="false">O640+Q640+S640+U640+W640+Y640+AA640+AC640+AE640+AG640+AI640+AK640</f>
        <v>18594</v>
      </c>
    </row>
    <row collapsed="false" customFormat="false" customHeight="true" hidden="false" ht="16.2" outlineLevel="0" r="641">
      <c r="A641" s="80" t="n">
        <v>334</v>
      </c>
      <c r="B641" s="100" t="s">
        <v>495</v>
      </c>
      <c r="C641" s="82" t="s">
        <v>1033</v>
      </c>
      <c r="D641" s="92" t="s">
        <v>1056</v>
      </c>
      <c r="E641" s="83" t="s">
        <v>1035</v>
      </c>
      <c r="F641" s="49" t="s">
        <v>1036</v>
      </c>
      <c r="G641" s="92"/>
      <c r="H641" s="85"/>
      <c r="I641" s="85"/>
      <c r="J641" s="85"/>
      <c r="K641" s="93"/>
      <c r="L641" s="93"/>
      <c r="M641" s="81"/>
      <c r="N641" s="81"/>
      <c r="O641" s="90"/>
      <c r="P641" s="95"/>
      <c r="Q641" s="81"/>
      <c r="R641" s="95"/>
      <c r="S641" s="81"/>
      <c r="T641" s="95"/>
      <c r="U641" s="81"/>
      <c r="V641" s="95"/>
      <c r="W641" s="81"/>
      <c r="X641" s="95"/>
      <c r="Y641" s="81"/>
      <c r="Z641" s="95"/>
      <c r="AA641" s="81"/>
      <c r="AB641" s="95"/>
      <c r="AC641" s="81"/>
      <c r="AD641" s="95"/>
      <c r="AE641" s="81"/>
      <c r="AF641" s="95"/>
      <c r="AG641" s="81"/>
      <c r="AH641" s="95"/>
      <c r="AI641" s="81"/>
      <c r="AJ641" s="95"/>
      <c r="AK641" s="81"/>
      <c r="AL641" s="95"/>
      <c r="AM641" s="81"/>
    </row>
    <row collapsed="false" customFormat="false" customHeight="true" hidden="false" ht="16.2" outlineLevel="0" r="642">
      <c r="A642" s="80"/>
      <c r="B642" s="101"/>
      <c r="C642" s="85"/>
      <c r="D642" s="92"/>
      <c r="E642" s="83" t="s">
        <v>1037</v>
      </c>
      <c r="F642" s="49" t="s">
        <v>1036</v>
      </c>
      <c r="G642" s="85" t="s">
        <v>1057</v>
      </c>
      <c r="H642" s="85" t="n">
        <v>12</v>
      </c>
      <c r="I642" s="85"/>
      <c r="J642" s="85"/>
      <c r="K642" s="93" t="s">
        <v>53</v>
      </c>
      <c r="L642" s="93" t="s">
        <v>53</v>
      </c>
      <c r="M642" s="81" t="n">
        <v>1269</v>
      </c>
      <c r="N642" s="81" t="n">
        <v>1166</v>
      </c>
      <c r="O642" s="90" t="n">
        <v>127</v>
      </c>
      <c r="P642" s="95" t="s">
        <v>1005</v>
      </c>
      <c r="Q642" s="81" t="n">
        <v>188</v>
      </c>
      <c r="R642" s="95" t="s">
        <v>1005</v>
      </c>
      <c r="S642" s="81" t="n">
        <v>53</v>
      </c>
      <c r="T642" s="95" t="s">
        <v>1005</v>
      </c>
      <c r="U642" s="81" t="n">
        <v>57</v>
      </c>
      <c r="V642" s="95" t="s">
        <v>1005</v>
      </c>
      <c r="W642" s="81" t="n">
        <v>124</v>
      </c>
      <c r="X642" s="95" t="s">
        <v>1005</v>
      </c>
      <c r="Y642" s="81" t="n">
        <v>151</v>
      </c>
      <c r="Z642" s="95" t="s">
        <v>1005</v>
      </c>
      <c r="AA642" s="81" t="n">
        <v>68</v>
      </c>
      <c r="AB642" s="95" t="s">
        <v>1005</v>
      </c>
      <c r="AC642" s="81" t="n">
        <v>62</v>
      </c>
      <c r="AD642" s="95" t="s">
        <v>1005</v>
      </c>
      <c r="AE642" s="81" t="n">
        <v>63</v>
      </c>
      <c r="AF642" s="95" t="s">
        <v>1005</v>
      </c>
      <c r="AG642" s="81" t="n">
        <v>90</v>
      </c>
      <c r="AH642" s="95" t="s">
        <v>1005</v>
      </c>
      <c r="AI642" s="81" t="n">
        <v>146</v>
      </c>
      <c r="AJ642" s="95" t="s">
        <v>1005</v>
      </c>
      <c r="AK642" s="81" t="n">
        <v>141</v>
      </c>
      <c r="AL642" s="95" t="s">
        <v>1005</v>
      </c>
      <c r="AM642" s="81" t="n">
        <f aca="false">O642+Q642+S642+U642+W642+Y642+AA642+AC642+AE642+AG642+AI642+AK642</f>
        <v>1270</v>
      </c>
    </row>
    <row collapsed="false" customFormat="false" customHeight="true" hidden="false" ht="16.2" outlineLevel="0" r="643">
      <c r="A643" s="80" t="n">
        <v>335</v>
      </c>
      <c r="B643" s="100" t="s">
        <v>496</v>
      </c>
      <c r="C643" s="82" t="s">
        <v>1033</v>
      </c>
      <c r="D643" s="92" t="s">
        <v>1056</v>
      </c>
      <c r="E643" s="83" t="s">
        <v>1035</v>
      </c>
      <c r="F643" s="49" t="s">
        <v>1036</v>
      </c>
      <c r="G643" s="92"/>
      <c r="H643" s="85"/>
      <c r="I643" s="85"/>
      <c r="J643" s="85"/>
      <c r="K643" s="93" t="s">
        <v>53</v>
      </c>
      <c r="L643" s="93" t="s">
        <v>53</v>
      </c>
      <c r="M643" s="81" t="n">
        <v>4762</v>
      </c>
      <c r="N643" s="81" t="n">
        <v>5721</v>
      </c>
      <c r="O643" s="90" t="n">
        <v>418</v>
      </c>
      <c r="P643" s="95" t="s">
        <v>1005</v>
      </c>
      <c r="Q643" s="95" t="n">
        <v>442</v>
      </c>
      <c r="R643" s="95" t="s">
        <v>1005</v>
      </c>
      <c r="S643" s="95" t="n">
        <v>356</v>
      </c>
      <c r="T643" s="95" t="s">
        <v>1005</v>
      </c>
      <c r="U643" s="95" t="n">
        <v>401</v>
      </c>
      <c r="V643" s="95" t="s">
        <v>1005</v>
      </c>
      <c r="W643" s="95" t="n">
        <v>431</v>
      </c>
      <c r="X643" s="95" t="s">
        <v>1005</v>
      </c>
      <c r="Y643" s="95" t="n">
        <v>367</v>
      </c>
      <c r="Z643" s="95" t="s">
        <v>1005</v>
      </c>
      <c r="AA643" s="95" t="n">
        <v>375</v>
      </c>
      <c r="AB643" s="95" t="s">
        <v>1005</v>
      </c>
      <c r="AC643" s="95" t="n">
        <v>363</v>
      </c>
      <c r="AD643" s="95" t="s">
        <v>1005</v>
      </c>
      <c r="AE643" s="95" t="n">
        <v>440</v>
      </c>
      <c r="AF643" s="95" t="s">
        <v>1005</v>
      </c>
      <c r="AG643" s="95" t="n">
        <v>372</v>
      </c>
      <c r="AH643" s="95" t="s">
        <v>1005</v>
      </c>
      <c r="AI643" s="95" t="n">
        <v>390</v>
      </c>
      <c r="AJ643" s="95" t="s">
        <v>1005</v>
      </c>
      <c r="AK643" s="95" t="n">
        <v>398</v>
      </c>
      <c r="AL643" s="95" t="s">
        <v>1005</v>
      </c>
      <c r="AM643" s="81" t="n">
        <f aca="false">O643+Q643+S643+U643+W643+Y643+AA643+AC643+AE643+AG643+AI643+AK643</f>
        <v>4753</v>
      </c>
    </row>
    <row collapsed="false" customFormat="false" customHeight="true" hidden="false" ht="16.2" outlineLevel="0" r="644">
      <c r="A644" s="80"/>
      <c r="B644" s="101"/>
      <c r="C644" s="85"/>
      <c r="D644" s="92"/>
      <c r="E644" s="83" t="s">
        <v>1037</v>
      </c>
      <c r="F644" s="49" t="s">
        <v>1036</v>
      </c>
      <c r="G644" s="85" t="s">
        <v>1057</v>
      </c>
      <c r="H644" s="85" t="n">
        <v>45</v>
      </c>
      <c r="I644" s="85" t="s">
        <v>1046</v>
      </c>
      <c r="J644" s="85" t="n">
        <v>3</v>
      </c>
      <c r="K644" s="93" t="s">
        <v>53</v>
      </c>
      <c r="L644" s="93" t="s">
        <v>53</v>
      </c>
      <c r="M644" s="81" t="n">
        <v>11327</v>
      </c>
      <c r="N644" s="81" t="n">
        <v>7204</v>
      </c>
      <c r="O644" s="90" t="n">
        <v>796</v>
      </c>
      <c r="P644" s="95" t="s">
        <v>1005</v>
      </c>
      <c r="Q644" s="81" t="n">
        <v>810</v>
      </c>
      <c r="R644" s="95" t="s">
        <v>1005</v>
      </c>
      <c r="S644" s="81" t="n">
        <v>484</v>
      </c>
      <c r="T644" s="95" t="s">
        <v>1005</v>
      </c>
      <c r="U644" s="81" t="n">
        <v>579</v>
      </c>
      <c r="V644" s="95" t="s">
        <v>1005</v>
      </c>
      <c r="W644" s="81" t="n">
        <v>554</v>
      </c>
      <c r="X644" s="95" t="s">
        <v>1005</v>
      </c>
      <c r="Y644" s="81" t="n">
        <v>398</v>
      </c>
      <c r="Z644" s="95" t="s">
        <v>1005</v>
      </c>
      <c r="AA644" s="81" t="n">
        <v>363</v>
      </c>
      <c r="AB644" s="95" t="s">
        <v>1005</v>
      </c>
      <c r="AC644" s="81" t="n">
        <v>413</v>
      </c>
      <c r="AD644" s="95" t="s">
        <v>1005</v>
      </c>
      <c r="AE644" s="81" t="n">
        <v>561</v>
      </c>
      <c r="AF644" s="95" t="s">
        <v>1005</v>
      </c>
      <c r="AG644" s="81" t="n">
        <v>581</v>
      </c>
      <c r="AH644" s="95" t="s">
        <v>1005</v>
      </c>
      <c r="AI644" s="81" t="n">
        <v>571</v>
      </c>
      <c r="AJ644" s="95" t="s">
        <v>1005</v>
      </c>
      <c r="AK644" s="81" t="n">
        <v>575</v>
      </c>
      <c r="AL644" s="95" t="s">
        <v>1005</v>
      </c>
      <c r="AM644" s="81" t="n">
        <f aca="false">O644+Q644+S644+U644+W644+Y644+AA644+AC644+AE644+AG644+AI644+AK644</f>
        <v>6685</v>
      </c>
    </row>
    <row collapsed="false" customFormat="false" customHeight="true" hidden="false" ht="16.2" outlineLevel="0" r="645">
      <c r="A645" s="80" t="n">
        <v>336</v>
      </c>
      <c r="B645" s="100" t="s">
        <v>497</v>
      </c>
      <c r="C645" s="82" t="s">
        <v>1033</v>
      </c>
      <c r="D645" s="92" t="s">
        <v>1056</v>
      </c>
      <c r="E645" s="83" t="s">
        <v>1035</v>
      </c>
      <c r="F645" s="49" t="s">
        <v>1036</v>
      </c>
      <c r="G645" s="92"/>
      <c r="H645" s="85"/>
      <c r="I645" s="85"/>
      <c r="J645" s="85"/>
      <c r="K645" s="93" t="s">
        <v>53</v>
      </c>
      <c r="L645" s="93" t="s">
        <v>53</v>
      </c>
      <c r="M645" s="81" t="n">
        <v>4532</v>
      </c>
      <c r="N645" s="81" t="n">
        <v>3744</v>
      </c>
      <c r="O645" s="90" t="n">
        <v>363</v>
      </c>
      <c r="P645" s="95" t="s">
        <v>1005</v>
      </c>
      <c r="Q645" s="81" t="n">
        <v>385</v>
      </c>
      <c r="R645" s="95" t="s">
        <v>1005</v>
      </c>
      <c r="S645" s="81" t="n">
        <v>276</v>
      </c>
      <c r="T645" s="95" t="s">
        <v>1005</v>
      </c>
      <c r="U645" s="81" t="n">
        <v>346</v>
      </c>
      <c r="V645" s="95" t="s">
        <v>1005</v>
      </c>
      <c r="W645" s="81" t="n">
        <v>388</v>
      </c>
      <c r="X645" s="95" t="s">
        <v>1005</v>
      </c>
      <c r="Y645" s="81" t="n">
        <v>335</v>
      </c>
      <c r="Z645" s="95" t="s">
        <v>1005</v>
      </c>
      <c r="AA645" s="81" t="n">
        <v>354</v>
      </c>
      <c r="AB645" s="95" t="s">
        <v>1005</v>
      </c>
      <c r="AC645" s="81" t="n">
        <v>330</v>
      </c>
      <c r="AD645" s="95" t="s">
        <v>1005</v>
      </c>
      <c r="AE645" s="81" t="n">
        <v>397</v>
      </c>
      <c r="AF645" s="95" t="s">
        <v>1005</v>
      </c>
      <c r="AG645" s="81" t="n">
        <v>355</v>
      </c>
      <c r="AH645" s="95" t="s">
        <v>1005</v>
      </c>
      <c r="AI645" s="81" t="n">
        <v>358</v>
      </c>
      <c r="AJ645" s="95" t="s">
        <v>1005</v>
      </c>
      <c r="AK645" s="81" t="n">
        <v>370</v>
      </c>
      <c r="AL645" s="95" t="s">
        <v>1005</v>
      </c>
      <c r="AM645" s="81" t="n">
        <f aca="false">O645+Q645+S645+U645+W645+Y645+AA645+AC645+AE645+AG645+AI645+AK645</f>
        <v>4257</v>
      </c>
    </row>
    <row collapsed="false" customFormat="false" customHeight="true" hidden="false" ht="16.2" outlineLevel="0" r="646">
      <c r="A646" s="80"/>
      <c r="B646" s="101"/>
      <c r="C646" s="85"/>
      <c r="D646" s="92"/>
      <c r="E646" s="83" t="s">
        <v>1037</v>
      </c>
      <c r="F646" s="49" t="s">
        <v>1036</v>
      </c>
      <c r="G646" s="85" t="s">
        <v>1057</v>
      </c>
      <c r="H646" s="85" t="n">
        <v>45</v>
      </c>
      <c r="I646" s="85" t="s">
        <v>1046</v>
      </c>
      <c r="J646" s="85" t="n">
        <v>3</v>
      </c>
      <c r="K646" s="93" t="s">
        <v>53</v>
      </c>
      <c r="L646" s="93" t="s">
        <v>53</v>
      </c>
      <c r="M646" s="81" t="n">
        <v>15146</v>
      </c>
      <c r="N646" s="81" t="n">
        <v>13396</v>
      </c>
      <c r="O646" s="90" t="n">
        <v>1339</v>
      </c>
      <c r="P646" s="95" t="s">
        <v>1005</v>
      </c>
      <c r="Q646" s="81" t="n">
        <v>1414</v>
      </c>
      <c r="R646" s="95" t="s">
        <v>1005</v>
      </c>
      <c r="S646" s="81" t="n">
        <v>780</v>
      </c>
      <c r="T646" s="95" t="s">
        <v>1005</v>
      </c>
      <c r="U646" s="81" t="n">
        <v>874</v>
      </c>
      <c r="V646" s="95" t="s">
        <v>1005</v>
      </c>
      <c r="W646" s="81" t="n">
        <v>914</v>
      </c>
      <c r="X646" s="95" t="s">
        <v>1005</v>
      </c>
      <c r="Y646" s="81" t="n">
        <v>768</v>
      </c>
      <c r="Z646" s="95" t="s">
        <v>1005</v>
      </c>
      <c r="AA646" s="81" t="n">
        <v>858</v>
      </c>
      <c r="AB646" s="95" t="s">
        <v>1005</v>
      </c>
      <c r="AC646" s="81" t="n">
        <v>686</v>
      </c>
      <c r="AD646" s="95" t="s">
        <v>1005</v>
      </c>
      <c r="AE646" s="81" t="n">
        <v>1002</v>
      </c>
      <c r="AF646" s="95" t="s">
        <v>1005</v>
      </c>
      <c r="AG646" s="81" t="n">
        <v>1108</v>
      </c>
      <c r="AH646" s="95" t="s">
        <v>1005</v>
      </c>
      <c r="AI646" s="81" t="n">
        <v>1155</v>
      </c>
      <c r="AJ646" s="95" t="s">
        <v>1005</v>
      </c>
      <c r="AK646" s="81" t="n">
        <v>1152</v>
      </c>
      <c r="AL646" s="95" t="s">
        <v>1005</v>
      </c>
      <c r="AM646" s="81" t="n">
        <f aca="false">O646+Q646+S646+U646+W646+Y646+AA646+AC646+AE646+AG646+AI646+AK646</f>
        <v>12050</v>
      </c>
    </row>
    <row collapsed="false" customFormat="false" customHeight="true" hidden="false" ht="16.2" outlineLevel="0" r="647">
      <c r="A647" s="80" t="n">
        <v>337</v>
      </c>
      <c r="B647" s="100" t="s">
        <v>498</v>
      </c>
      <c r="C647" s="82" t="s">
        <v>1033</v>
      </c>
      <c r="D647" s="92" t="s">
        <v>1056</v>
      </c>
      <c r="E647" s="83" t="s">
        <v>1035</v>
      </c>
      <c r="F647" s="49" t="s">
        <v>1036</v>
      </c>
      <c r="G647" s="92"/>
      <c r="H647" s="85"/>
      <c r="I647" s="85"/>
      <c r="J647" s="85"/>
      <c r="K647" s="93"/>
      <c r="L647" s="93"/>
      <c r="M647" s="81"/>
      <c r="N647" s="81"/>
      <c r="O647" s="90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  <c r="AE647" s="95"/>
      <c r="AF647" s="95"/>
      <c r="AG647" s="95"/>
      <c r="AH647" s="95"/>
      <c r="AI647" s="95"/>
      <c r="AJ647" s="95"/>
      <c r="AK647" s="95"/>
      <c r="AL647" s="95"/>
      <c r="AM647" s="81"/>
    </row>
    <row collapsed="false" customFormat="false" customHeight="true" hidden="false" ht="16.2" outlineLevel="0" r="648">
      <c r="A648" s="80"/>
      <c r="B648" s="101"/>
      <c r="C648" s="85"/>
      <c r="D648" s="92"/>
      <c r="E648" s="83" t="s">
        <v>1037</v>
      </c>
      <c r="F648" s="49" t="s">
        <v>1036</v>
      </c>
      <c r="G648" s="85" t="s">
        <v>1057</v>
      </c>
      <c r="H648" s="85" t="n">
        <v>8</v>
      </c>
      <c r="I648" s="85"/>
      <c r="J648" s="85"/>
      <c r="K648" s="93" t="s">
        <v>53</v>
      </c>
      <c r="L648" s="93" t="s">
        <v>53</v>
      </c>
      <c r="M648" s="81" t="n">
        <v>3480</v>
      </c>
      <c r="N648" s="81" t="n">
        <v>1839</v>
      </c>
      <c r="O648" s="90" t="n">
        <v>209</v>
      </c>
      <c r="P648" s="95" t="s">
        <v>1005</v>
      </c>
      <c r="Q648" s="81" t="n">
        <v>223</v>
      </c>
      <c r="R648" s="95" t="s">
        <v>1005</v>
      </c>
      <c r="S648" s="81" t="n">
        <v>142</v>
      </c>
      <c r="T648" s="95" t="s">
        <v>1005</v>
      </c>
      <c r="U648" s="81" t="n">
        <v>157</v>
      </c>
      <c r="V648" s="95" t="s">
        <v>1005</v>
      </c>
      <c r="W648" s="81" t="n">
        <v>429</v>
      </c>
      <c r="X648" s="95" t="s">
        <v>1005</v>
      </c>
      <c r="Y648" s="81" t="n">
        <v>51</v>
      </c>
      <c r="Z648" s="95" t="s">
        <v>1005</v>
      </c>
      <c r="AA648" s="81" t="n">
        <v>41</v>
      </c>
      <c r="AB648" s="95" t="s">
        <v>1005</v>
      </c>
      <c r="AC648" s="81" t="n">
        <v>77</v>
      </c>
      <c r="AD648" s="95" t="s">
        <v>1005</v>
      </c>
      <c r="AE648" s="81" t="n">
        <v>98</v>
      </c>
      <c r="AF648" s="95" t="s">
        <v>1005</v>
      </c>
      <c r="AG648" s="81" t="n">
        <v>105</v>
      </c>
      <c r="AH648" s="95" t="s">
        <v>1005</v>
      </c>
      <c r="AI648" s="81" t="n">
        <v>97</v>
      </c>
      <c r="AJ648" s="95" t="s">
        <v>1005</v>
      </c>
      <c r="AK648" s="81" t="n">
        <v>138</v>
      </c>
      <c r="AL648" s="95" t="s">
        <v>1005</v>
      </c>
      <c r="AM648" s="81" t="n">
        <f aca="false">O648+Q648+S648+U648+W648+Y648+AA648+AC648+AE648+AG648+AI648+AK648</f>
        <v>1767</v>
      </c>
    </row>
    <row collapsed="false" customFormat="false" customHeight="true" hidden="false" ht="16.2" outlineLevel="0" r="649">
      <c r="A649" s="80" t="n">
        <v>338</v>
      </c>
      <c r="B649" s="81"/>
      <c r="C649" s="82" t="s">
        <v>1033</v>
      </c>
      <c r="D649" s="85"/>
      <c r="E649" s="83" t="s">
        <v>1035</v>
      </c>
      <c r="F649" s="49" t="s">
        <v>1036</v>
      </c>
      <c r="G649" s="85"/>
      <c r="H649" s="85"/>
      <c r="I649" s="85"/>
      <c r="J649" s="85"/>
      <c r="K649" s="85"/>
      <c r="L649" s="85"/>
      <c r="M649" s="81"/>
      <c r="N649" s="81"/>
      <c r="O649" s="96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  <c r="AC649" s="81"/>
      <c r="AD649" s="81"/>
      <c r="AE649" s="81"/>
      <c r="AF649" s="81"/>
      <c r="AG649" s="81"/>
      <c r="AH649" s="81"/>
      <c r="AI649" s="81"/>
      <c r="AJ649" s="81"/>
      <c r="AK649" s="81"/>
      <c r="AL649" s="81"/>
      <c r="AM649" s="81"/>
    </row>
    <row collapsed="false" customFormat="false" customHeight="true" hidden="false" ht="16.2" outlineLevel="0" r="650">
      <c r="A650" s="80"/>
      <c r="B650" s="81" t="s">
        <v>501</v>
      </c>
      <c r="C650" s="85"/>
      <c r="D650" s="85" t="s">
        <v>1054</v>
      </c>
      <c r="E650" s="83" t="s">
        <v>1037</v>
      </c>
      <c r="F650" s="49" t="s">
        <v>1036</v>
      </c>
      <c r="G650" s="85" t="s">
        <v>1039</v>
      </c>
      <c r="H650" s="85" t="n">
        <v>8</v>
      </c>
      <c r="I650" s="85" t="s">
        <v>1039</v>
      </c>
      <c r="J650" s="85" t="n">
        <v>2</v>
      </c>
      <c r="K650" s="85" t="s">
        <v>1041</v>
      </c>
      <c r="L650" s="85" t="s">
        <v>1041</v>
      </c>
      <c r="M650" s="81" t="n">
        <v>1950</v>
      </c>
      <c r="N650" s="81"/>
      <c r="O650" s="96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  <c r="AI650" s="81"/>
      <c r="AJ650" s="81"/>
      <c r="AK650" s="81"/>
      <c r="AL650" s="81"/>
      <c r="AM650" s="81"/>
    </row>
    <row collapsed="false" customFormat="false" customHeight="true" hidden="false" ht="16.2" outlineLevel="0" r="651">
      <c r="A651" s="80" t="n">
        <v>339</v>
      </c>
      <c r="B651" s="81"/>
      <c r="C651" s="82" t="s">
        <v>1033</v>
      </c>
      <c r="D651" s="85"/>
      <c r="E651" s="83" t="s">
        <v>1035</v>
      </c>
      <c r="F651" s="49" t="s">
        <v>1036</v>
      </c>
      <c r="G651" s="85"/>
      <c r="H651" s="85"/>
      <c r="I651" s="85"/>
      <c r="J651" s="85"/>
      <c r="K651" s="85"/>
      <c r="L651" s="85"/>
      <c r="M651" s="81"/>
      <c r="N651" s="81"/>
      <c r="O651" s="96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  <c r="AC651" s="81"/>
      <c r="AD651" s="81"/>
      <c r="AE651" s="81"/>
      <c r="AF651" s="81"/>
      <c r="AG651" s="81"/>
      <c r="AH651" s="81"/>
      <c r="AI651" s="81"/>
      <c r="AJ651" s="81"/>
      <c r="AK651" s="81"/>
      <c r="AL651" s="81"/>
      <c r="AM651" s="81"/>
    </row>
    <row collapsed="false" customFormat="false" customHeight="true" hidden="false" ht="16.2" outlineLevel="0" r="652">
      <c r="A652" s="80"/>
      <c r="B652" s="81" t="s">
        <v>503</v>
      </c>
      <c r="C652" s="85"/>
      <c r="D652" s="85" t="s">
        <v>1054</v>
      </c>
      <c r="E652" s="83" t="s">
        <v>1037</v>
      </c>
      <c r="F652" s="49" t="s">
        <v>1036</v>
      </c>
      <c r="G652" s="85" t="s">
        <v>1042</v>
      </c>
      <c r="H652" s="85" t="n">
        <v>6</v>
      </c>
      <c r="I652" s="85" t="s">
        <v>1039</v>
      </c>
      <c r="J652" s="85" t="n">
        <v>2</v>
      </c>
      <c r="K652" s="85" t="s">
        <v>1041</v>
      </c>
      <c r="L652" s="85" t="s">
        <v>1041</v>
      </c>
      <c r="M652" s="81" t="n">
        <v>1062</v>
      </c>
      <c r="N652" s="81"/>
      <c r="O652" s="96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  <c r="AC652" s="81"/>
      <c r="AD652" s="81"/>
      <c r="AE652" s="81"/>
      <c r="AF652" s="81"/>
      <c r="AG652" s="81"/>
      <c r="AH652" s="81"/>
      <c r="AI652" s="81"/>
      <c r="AJ652" s="81"/>
      <c r="AK652" s="81"/>
      <c r="AL652" s="81"/>
      <c r="AM652" s="81"/>
    </row>
    <row collapsed="false" customFormat="false" customHeight="true" hidden="false" ht="16.2" outlineLevel="0" r="653">
      <c r="A653" s="80" t="n">
        <v>340</v>
      </c>
      <c r="B653" s="81"/>
      <c r="C653" s="82" t="s">
        <v>1033</v>
      </c>
      <c r="D653" s="85"/>
      <c r="E653" s="83" t="s">
        <v>1035</v>
      </c>
      <c r="F653" s="49" t="s">
        <v>1036</v>
      </c>
      <c r="G653" s="85"/>
      <c r="H653" s="85"/>
      <c r="I653" s="85"/>
      <c r="J653" s="85"/>
      <c r="K653" s="85"/>
      <c r="L653" s="85"/>
      <c r="M653" s="81"/>
      <c r="N653" s="81"/>
      <c r="O653" s="96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  <c r="AC653" s="81"/>
      <c r="AD653" s="81"/>
      <c r="AE653" s="81"/>
      <c r="AF653" s="81"/>
      <c r="AG653" s="81"/>
      <c r="AH653" s="81"/>
      <c r="AI653" s="81"/>
      <c r="AJ653" s="81"/>
      <c r="AK653" s="81"/>
      <c r="AL653" s="81"/>
      <c r="AM653" s="81"/>
    </row>
    <row collapsed="false" customFormat="false" customHeight="true" hidden="false" ht="16.2" outlineLevel="0" r="654">
      <c r="A654" s="80"/>
      <c r="B654" s="81" t="s">
        <v>504</v>
      </c>
      <c r="C654" s="85"/>
      <c r="D654" s="85" t="s">
        <v>1054</v>
      </c>
      <c r="E654" s="83" t="s">
        <v>1037</v>
      </c>
      <c r="F654" s="49" t="s">
        <v>1036</v>
      </c>
      <c r="G654" s="85" t="s">
        <v>1042</v>
      </c>
      <c r="H654" s="85" t="n">
        <v>6</v>
      </c>
      <c r="I654" s="85" t="s">
        <v>1039</v>
      </c>
      <c r="J654" s="85" t="n">
        <v>2</v>
      </c>
      <c r="K654" s="85" t="s">
        <v>1041</v>
      </c>
      <c r="L654" s="85" t="s">
        <v>1041</v>
      </c>
      <c r="M654" s="81"/>
      <c r="N654" s="81"/>
      <c r="O654" s="96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  <c r="AC654" s="81"/>
      <c r="AD654" s="81"/>
      <c r="AE654" s="81"/>
      <c r="AF654" s="81"/>
      <c r="AG654" s="81"/>
      <c r="AH654" s="81"/>
      <c r="AI654" s="81"/>
      <c r="AJ654" s="81"/>
      <c r="AK654" s="81"/>
      <c r="AL654" s="81"/>
      <c r="AM654" s="81"/>
    </row>
    <row collapsed="false" customFormat="false" customHeight="true" hidden="false" ht="16.2" outlineLevel="0" r="655">
      <c r="A655" s="80" t="n">
        <v>341</v>
      </c>
      <c r="B655" s="81" t="s">
        <v>507</v>
      </c>
      <c r="C655" s="82" t="s">
        <v>1033</v>
      </c>
      <c r="D655" s="82" t="s">
        <v>1034</v>
      </c>
      <c r="E655" s="83" t="s">
        <v>1035</v>
      </c>
      <c r="F655" s="84" t="s">
        <v>1036</v>
      </c>
      <c r="G655" s="85"/>
      <c r="H655" s="85"/>
      <c r="I655" s="85"/>
      <c r="J655" s="85"/>
      <c r="K655" s="86" t="s">
        <v>53</v>
      </c>
      <c r="L655" s="86" t="s">
        <v>53</v>
      </c>
      <c r="M655" s="90"/>
      <c r="N655" s="90"/>
      <c r="O655" s="90"/>
      <c r="P655" s="90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  <c r="AC655" s="81"/>
      <c r="AD655" s="81"/>
      <c r="AE655" s="90"/>
      <c r="AF655" s="81"/>
      <c r="AG655" s="81"/>
      <c r="AH655" s="81"/>
      <c r="AI655" s="81"/>
      <c r="AJ655" s="81"/>
      <c r="AK655" s="81"/>
      <c r="AL655" s="81"/>
      <c r="AM655" s="81" t="n">
        <f aca="false">O655+Q655+S655+U655+W655+Y655+AA655+AC655+AE655+AG655+AI655+AK655</f>
        <v>0</v>
      </c>
    </row>
    <row collapsed="false" customFormat="false" customHeight="true" hidden="false" ht="16.2" outlineLevel="0" r="656">
      <c r="A656" s="80"/>
      <c r="B656" s="105"/>
      <c r="C656" s="106"/>
      <c r="D656" s="106"/>
      <c r="E656" s="107" t="s">
        <v>1037</v>
      </c>
      <c r="F656" s="108" t="s">
        <v>1036</v>
      </c>
      <c r="G656" s="106"/>
      <c r="H656" s="106"/>
      <c r="I656" s="106"/>
      <c r="J656" s="106"/>
      <c r="K656" s="109"/>
      <c r="L656" s="109"/>
      <c r="M656" s="102"/>
      <c r="N656" s="102"/>
      <c r="O656" s="102"/>
      <c r="P656" s="102"/>
      <c r="Q656" s="110"/>
      <c r="R656" s="111"/>
      <c r="S656" s="110"/>
      <c r="T656" s="111"/>
      <c r="U656" s="110"/>
      <c r="V656" s="111"/>
      <c r="W656" s="110"/>
      <c r="X656" s="112" t="s">
        <v>1064</v>
      </c>
      <c r="Y656" s="110"/>
      <c r="Z656" s="111"/>
      <c r="AA656" s="110"/>
      <c r="AB656" s="111"/>
      <c r="AC656" s="110"/>
      <c r="AD656" s="111"/>
      <c r="AE656" s="102"/>
      <c r="AF656" s="111"/>
      <c r="AG656" s="110"/>
      <c r="AH656" s="111"/>
      <c r="AI656" s="110"/>
      <c r="AJ656" s="111"/>
      <c r="AK656" s="110"/>
      <c r="AL656" s="111"/>
      <c r="AM656" s="111"/>
    </row>
    <row collapsed="false" customFormat="false" customHeight="true" hidden="false" ht="16.2" outlineLevel="0" r="657">
      <c r="A657" s="80" t="n">
        <v>342</v>
      </c>
      <c r="B657" s="81" t="s">
        <v>508</v>
      </c>
      <c r="C657" s="82" t="s">
        <v>1033</v>
      </c>
      <c r="D657" s="82" t="s">
        <v>1034</v>
      </c>
      <c r="E657" s="83" t="s">
        <v>1035</v>
      </c>
      <c r="F657" s="84" t="s">
        <v>1036</v>
      </c>
      <c r="G657" s="85"/>
      <c r="H657" s="85"/>
      <c r="I657" s="85"/>
      <c r="J657" s="85"/>
      <c r="K657" s="86" t="s">
        <v>53</v>
      </c>
      <c r="L657" s="86" t="s">
        <v>53</v>
      </c>
      <c r="M657" s="90"/>
      <c r="N657" s="90"/>
      <c r="O657" s="90"/>
      <c r="P657" s="90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  <c r="AC657" s="81"/>
      <c r="AD657" s="81"/>
      <c r="AE657" s="90"/>
      <c r="AF657" s="81"/>
      <c r="AG657" s="81"/>
      <c r="AH657" s="81"/>
      <c r="AI657" s="81"/>
      <c r="AJ657" s="81"/>
      <c r="AK657" s="81"/>
      <c r="AL657" s="81"/>
      <c r="AM657" s="81" t="n">
        <f aca="false">O657+Q657+S657+U657+W657+Y657+AA657+AC657+AE657+AG657+AI657+AK657</f>
        <v>0</v>
      </c>
    </row>
    <row collapsed="false" customFormat="false" customHeight="true" hidden="false" ht="16.2" outlineLevel="0" r="658">
      <c r="A658" s="80"/>
      <c r="B658" s="89"/>
      <c r="C658" s="85"/>
      <c r="D658" s="85"/>
      <c r="E658" s="83" t="s">
        <v>1037</v>
      </c>
      <c r="F658" s="84" t="s">
        <v>1036</v>
      </c>
      <c r="G658" s="85"/>
      <c r="H658" s="85"/>
      <c r="I658" s="85"/>
      <c r="J658" s="85"/>
      <c r="K658" s="86"/>
      <c r="L658" s="86"/>
      <c r="M658" s="90" t="n">
        <f aca="false">3769+4059</f>
        <v>7828</v>
      </c>
      <c r="N658" s="91" t="n">
        <f aca="false">2546+2641</f>
        <v>5187</v>
      </c>
      <c r="O658" s="90" t="n">
        <v>686</v>
      </c>
      <c r="P658" s="90" t="s">
        <v>1005</v>
      </c>
      <c r="Q658" s="81" t="n">
        <v>612</v>
      </c>
      <c r="R658" s="81"/>
      <c r="S658" s="81" t="n">
        <v>474</v>
      </c>
      <c r="T658" s="81" t="s">
        <v>1005</v>
      </c>
      <c r="U658" s="81" t="n">
        <v>400</v>
      </c>
      <c r="V658" s="81" t="s">
        <v>1005</v>
      </c>
      <c r="W658" s="81" t="n">
        <v>385</v>
      </c>
      <c r="X658" s="81" t="s">
        <v>1005</v>
      </c>
      <c r="Y658" s="81" t="n">
        <v>341</v>
      </c>
      <c r="Z658" s="81" t="s">
        <v>1005</v>
      </c>
      <c r="AA658" s="81" t="n">
        <v>287</v>
      </c>
      <c r="AB658" s="81" t="s">
        <v>1005</v>
      </c>
      <c r="AC658" s="81" t="n">
        <v>824</v>
      </c>
      <c r="AD658" s="81" t="s">
        <v>1005</v>
      </c>
      <c r="AE658" s="90" t="n">
        <v>824</v>
      </c>
      <c r="AF658" s="81" t="s">
        <v>1005</v>
      </c>
      <c r="AG658" s="81" t="n">
        <f aca="false">547+474</f>
        <v>1021</v>
      </c>
      <c r="AH658" s="81" t="s">
        <v>1005</v>
      </c>
      <c r="AI658" s="81" t="n">
        <f aca="false">682+539</f>
        <v>1221</v>
      </c>
      <c r="AJ658" s="81" t="s">
        <v>1005</v>
      </c>
      <c r="AK658" s="81" t="n">
        <f aca="false">644+462</f>
        <v>1106</v>
      </c>
      <c r="AL658" s="81" t="s">
        <v>1005</v>
      </c>
      <c r="AM658" s="81" t="n">
        <f aca="false">O658+Q658+S658+U658+W658+Y658+AA658+AC658+AE658+AG658+AI658+AK658</f>
        <v>8181</v>
      </c>
    </row>
    <row collapsed="false" customFormat="false" customHeight="true" hidden="false" ht="16.2" outlineLevel="0" r="659">
      <c r="A659" s="80" t="n">
        <v>343</v>
      </c>
      <c r="B659" s="81" t="s">
        <v>510</v>
      </c>
      <c r="C659" s="82" t="s">
        <v>1033</v>
      </c>
      <c r="D659" s="82" t="s">
        <v>1034</v>
      </c>
      <c r="E659" s="83" t="s">
        <v>1035</v>
      </c>
      <c r="F659" s="84" t="s">
        <v>1036</v>
      </c>
      <c r="G659" s="85"/>
      <c r="H659" s="85"/>
      <c r="I659" s="85"/>
      <c r="J659" s="85"/>
      <c r="K659" s="86" t="s">
        <v>53</v>
      </c>
      <c r="L659" s="86" t="s">
        <v>53</v>
      </c>
      <c r="M659" s="90"/>
      <c r="N659" s="90"/>
      <c r="O659" s="90"/>
      <c r="P659" s="90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  <c r="AC659" s="81"/>
      <c r="AD659" s="81"/>
      <c r="AE659" s="90"/>
      <c r="AF659" s="81"/>
      <c r="AG659" s="81"/>
      <c r="AH659" s="81"/>
      <c r="AI659" s="81"/>
      <c r="AJ659" s="81"/>
      <c r="AK659" s="81"/>
      <c r="AL659" s="81"/>
      <c r="AM659" s="81" t="n">
        <f aca="false">O659+Q659+S659+U659+W659+Y659+AA659+AC659+AE659+AG659+AI659+AK659</f>
        <v>0</v>
      </c>
    </row>
    <row collapsed="false" customFormat="false" customHeight="true" hidden="false" ht="16.2" outlineLevel="0" r="660">
      <c r="A660" s="80"/>
      <c r="B660" s="89"/>
      <c r="C660" s="85"/>
      <c r="D660" s="85"/>
      <c r="E660" s="83" t="s">
        <v>1037</v>
      </c>
      <c r="F660" s="84" t="s">
        <v>1036</v>
      </c>
      <c r="G660" s="85"/>
      <c r="H660" s="85"/>
      <c r="I660" s="85"/>
      <c r="J660" s="85"/>
      <c r="K660" s="86"/>
      <c r="L660" s="86"/>
      <c r="M660" s="90" t="n">
        <f aca="false">1745+1313</f>
        <v>3058</v>
      </c>
      <c r="N660" s="91" t="n">
        <f aca="false">1818+1794</f>
        <v>3612</v>
      </c>
      <c r="O660" s="90" t="n">
        <v>344</v>
      </c>
      <c r="P660" s="90" t="s">
        <v>1005</v>
      </c>
      <c r="Q660" s="81" t="n">
        <v>300</v>
      </c>
      <c r="R660" s="81"/>
      <c r="S660" s="81" t="n">
        <v>257</v>
      </c>
      <c r="T660" s="81" t="s">
        <v>1005</v>
      </c>
      <c r="U660" s="81" t="n">
        <v>313</v>
      </c>
      <c r="V660" s="81" t="s">
        <v>1005</v>
      </c>
      <c r="W660" s="81" t="n">
        <v>201</v>
      </c>
      <c r="X660" s="81" t="s">
        <v>1005</v>
      </c>
      <c r="Y660" s="81" t="n">
        <v>195</v>
      </c>
      <c r="Z660" s="81" t="s">
        <v>1005</v>
      </c>
      <c r="AA660" s="81" t="n">
        <v>145</v>
      </c>
      <c r="AB660" s="81" t="s">
        <v>1005</v>
      </c>
      <c r="AC660" s="81" t="n">
        <v>229</v>
      </c>
      <c r="AD660" s="81" t="s">
        <v>1005</v>
      </c>
      <c r="AE660" s="90" t="n">
        <v>229</v>
      </c>
      <c r="AF660" s="81" t="s">
        <v>1005</v>
      </c>
      <c r="AG660" s="81" t="n">
        <f aca="false">146+107</f>
        <v>253</v>
      </c>
      <c r="AH660" s="81" t="s">
        <v>1005</v>
      </c>
      <c r="AI660" s="81" t="n">
        <f aca="false">204+183</f>
        <v>387</v>
      </c>
      <c r="AJ660" s="81" t="s">
        <v>1005</v>
      </c>
      <c r="AK660" s="81" t="n">
        <f aca="false">244+90</f>
        <v>334</v>
      </c>
      <c r="AL660" s="81" t="s">
        <v>1005</v>
      </c>
      <c r="AM660" s="81" t="n">
        <f aca="false">O660+Q660+S660+U660+W660+Y660+AA660+AC660+AE660+AG660+AI660+AK660</f>
        <v>3187</v>
      </c>
    </row>
    <row collapsed="false" customFormat="false" customHeight="true" hidden="false" ht="16.2" outlineLevel="0" r="661">
      <c r="A661" s="80" t="n">
        <v>344</v>
      </c>
      <c r="B661" s="81" t="s">
        <v>511</v>
      </c>
      <c r="C661" s="82" t="s">
        <v>1033</v>
      </c>
      <c r="D661" s="82" t="s">
        <v>1034</v>
      </c>
      <c r="E661" s="83" t="s">
        <v>1035</v>
      </c>
      <c r="F661" s="84" t="s">
        <v>1036</v>
      </c>
      <c r="G661" s="85"/>
      <c r="H661" s="85"/>
      <c r="I661" s="85"/>
      <c r="J661" s="85"/>
      <c r="K661" s="86" t="s">
        <v>53</v>
      </c>
      <c r="L661" s="86" t="s">
        <v>53</v>
      </c>
      <c r="M661" s="90"/>
      <c r="N661" s="90"/>
      <c r="O661" s="90"/>
      <c r="P661" s="90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  <c r="AC661" s="81"/>
      <c r="AD661" s="81"/>
      <c r="AE661" s="90"/>
      <c r="AF661" s="81"/>
      <c r="AG661" s="81"/>
      <c r="AH661" s="81"/>
      <c r="AI661" s="81"/>
      <c r="AJ661" s="81"/>
      <c r="AK661" s="81"/>
      <c r="AL661" s="81"/>
      <c r="AM661" s="81" t="n">
        <f aca="false">O661+Q661+S661+U661+W661+Y661+AA661+AC661+AE661+AG661+AI661+AK661</f>
        <v>0</v>
      </c>
    </row>
    <row collapsed="false" customFormat="false" customHeight="true" hidden="false" ht="16.2" outlineLevel="0" r="662">
      <c r="A662" s="80"/>
      <c r="B662" s="89"/>
      <c r="C662" s="85"/>
      <c r="D662" s="85"/>
      <c r="E662" s="83" t="s">
        <v>1037</v>
      </c>
      <c r="F662" s="84" t="s">
        <v>1036</v>
      </c>
      <c r="G662" s="85"/>
      <c r="H662" s="85"/>
      <c r="I662" s="85"/>
      <c r="J662" s="85"/>
      <c r="K662" s="86"/>
      <c r="L662" s="86"/>
      <c r="M662" s="90" t="n">
        <f aca="false">2650+2468</f>
        <v>5118</v>
      </c>
      <c r="N662" s="91" t="n">
        <f aca="false">2873+2297</f>
        <v>5170</v>
      </c>
      <c r="O662" s="90" t="n">
        <v>608</v>
      </c>
      <c r="P662" s="90" t="s">
        <v>1005</v>
      </c>
      <c r="Q662" s="81" t="n">
        <v>575</v>
      </c>
      <c r="R662" s="81"/>
      <c r="S662" s="81" t="n">
        <v>436</v>
      </c>
      <c r="T662" s="81" t="s">
        <v>1005</v>
      </c>
      <c r="U662" s="81" t="n">
        <v>424</v>
      </c>
      <c r="V662" s="81" t="s">
        <v>1005</v>
      </c>
      <c r="W662" s="81" t="n">
        <v>361</v>
      </c>
      <c r="X662" s="81" t="s">
        <v>1005</v>
      </c>
      <c r="Y662" s="81" t="n">
        <v>329</v>
      </c>
      <c r="Z662" s="81" t="s">
        <v>1005</v>
      </c>
      <c r="AA662" s="81" t="n">
        <v>270</v>
      </c>
      <c r="AB662" s="81" t="s">
        <v>1005</v>
      </c>
      <c r="AC662" s="81" t="n">
        <v>399</v>
      </c>
      <c r="AD662" s="81" t="s">
        <v>1005</v>
      </c>
      <c r="AE662" s="90" t="n">
        <v>399</v>
      </c>
      <c r="AF662" s="81" t="s">
        <v>1005</v>
      </c>
      <c r="AG662" s="81" t="n">
        <f aca="false">223+203</f>
        <v>426</v>
      </c>
      <c r="AH662" s="81" t="s">
        <v>1005</v>
      </c>
      <c r="AI662" s="81" t="n">
        <f aca="false">321+229</f>
        <v>550</v>
      </c>
      <c r="AJ662" s="81" t="s">
        <v>1005</v>
      </c>
      <c r="AK662" s="81" t="n">
        <f aca="false">382+242</f>
        <v>624</v>
      </c>
      <c r="AL662" s="81" t="s">
        <v>1005</v>
      </c>
      <c r="AM662" s="81" t="n">
        <f aca="false">O662+Q662+S662+U662+W662+Y662+AA662+AC662+AE662+AG662+AI662+AK662</f>
        <v>5401</v>
      </c>
    </row>
    <row collapsed="false" customFormat="false" customHeight="true" hidden="false" ht="16.2" outlineLevel="0" r="663">
      <c r="A663" s="80" t="n">
        <v>345</v>
      </c>
      <c r="B663" s="81" t="s">
        <v>512</v>
      </c>
      <c r="C663" s="82" t="s">
        <v>1033</v>
      </c>
      <c r="D663" s="82" t="s">
        <v>1034</v>
      </c>
      <c r="E663" s="83" t="s">
        <v>1035</v>
      </c>
      <c r="F663" s="84" t="s">
        <v>1036</v>
      </c>
      <c r="G663" s="85"/>
      <c r="H663" s="85"/>
      <c r="I663" s="85"/>
      <c r="J663" s="85"/>
      <c r="K663" s="86" t="s">
        <v>53</v>
      </c>
      <c r="L663" s="86" t="s">
        <v>53</v>
      </c>
      <c r="M663" s="90"/>
      <c r="N663" s="90"/>
      <c r="O663" s="90"/>
      <c r="P663" s="90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  <c r="AC663" s="81"/>
      <c r="AD663" s="81"/>
      <c r="AE663" s="90"/>
      <c r="AF663" s="81"/>
      <c r="AG663" s="81"/>
      <c r="AH663" s="81"/>
      <c r="AI663" s="81"/>
      <c r="AJ663" s="81"/>
      <c r="AK663" s="81"/>
      <c r="AL663" s="81"/>
      <c r="AM663" s="81" t="n">
        <f aca="false">O663+Q663+S663+U663+W663+Y663+AA663+AC663+AE663+AG663+AI663+AK663</f>
        <v>0</v>
      </c>
    </row>
    <row collapsed="false" customFormat="false" customHeight="true" hidden="false" ht="16.2" outlineLevel="0" r="664">
      <c r="A664" s="80"/>
      <c r="B664" s="89"/>
      <c r="C664" s="85"/>
      <c r="D664" s="85"/>
      <c r="E664" s="83" t="s">
        <v>1037</v>
      </c>
      <c r="F664" s="84" t="s">
        <v>1036</v>
      </c>
      <c r="G664" s="85"/>
      <c r="H664" s="85"/>
      <c r="I664" s="85"/>
      <c r="J664" s="85"/>
      <c r="K664" s="86"/>
      <c r="L664" s="86"/>
      <c r="M664" s="90" t="n">
        <f aca="false">674+580</f>
        <v>1254</v>
      </c>
      <c r="N664" s="91" t="n">
        <f aca="false">946+786</f>
        <v>1732</v>
      </c>
      <c r="O664" s="90" t="n">
        <v>158</v>
      </c>
      <c r="P664" s="90" t="s">
        <v>1005</v>
      </c>
      <c r="Q664" s="81" t="n">
        <v>204</v>
      </c>
      <c r="R664" s="81"/>
      <c r="S664" s="81" t="n">
        <v>123</v>
      </c>
      <c r="T664" s="81" t="s">
        <v>1005</v>
      </c>
      <c r="U664" s="81" t="n">
        <v>147</v>
      </c>
      <c r="V664" s="81" t="s">
        <v>1005</v>
      </c>
      <c r="W664" s="81" t="n">
        <v>112</v>
      </c>
      <c r="X664" s="81" t="s">
        <v>1005</v>
      </c>
      <c r="Y664" s="81" t="n">
        <v>74</v>
      </c>
      <c r="Z664" s="81" t="s">
        <v>1005</v>
      </c>
      <c r="AA664" s="81" t="n">
        <v>41</v>
      </c>
      <c r="AB664" s="81" t="s">
        <v>1005</v>
      </c>
      <c r="AC664" s="81" t="n">
        <v>122</v>
      </c>
      <c r="AD664" s="81" t="s">
        <v>1005</v>
      </c>
      <c r="AE664" s="90" t="n">
        <v>122</v>
      </c>
      <c r="AF664" s="81" t="s">
        <v>1005</v>
      </c>
      <c r="AG664" s="81" t="n">
        <f aca="false">69+82</f>
        <v>151</v>
      </c>
      <c r="AH664" s="81" t="s">
        <v>1005</v>
      </c>
      <c r="AI664" s="81" t="n">
        <f aca="false">113+76</f>
        <v>189</v>
      </c>
      <c r="AJ664" s="81" t="s">
        <v>1005</v>
      </c>
      <c r="AK664" s="81" t="n">
        <f aca="false">106+62</f>
        <v>168</v>
      </c>
      <c r="AL664" s="81" t="s">
        <v>1005</v>
      </c>
      <c r="AM664" s="81" t="n">
        <f aca="false">O664+Q664+S664+U664+W664+Y664+AA664+AC664+AE664+AG664+AI664+AK664</f>
        <v>1611</v>
      </c>
    </row>
    <row collapsed="false" customFormat="false" customHeight="true" hidden="false" ht="16.2" outlineLevel="0" r="665">
      <c r="A665" s="80" t="n">
        <v>346</v>
      </c>
      <c r="B665" s="81" t="s">
        <v>513</v>
      </c>
      <c r="C665" s="82" t="s">
        <v>1033</v>
      </c>
      <c r="D665" s="82" t="s">
        <v>1034</v>
      </c>
      <c r="E665" s="83" t="s">
        <v>1035</v>
      </c>
      <c r="F665" s="84" t="s">
        <v>1036</v>
      </c>
      <c r="G665" s="85"/>
      <c r="H665" s="85"/>
      <c r="I665" s="85"/>
      <c r="J665" s="85"/>
      <c r="K665" s="86" t="s">
        <v>53</v>
      </c>
      <c r="L665" s="86" t="s">
        <v>53</v>
      </c>
      <c r="M665" s="90"/>
      <c r="N665" s="90"/>
      <c r="O665" s="90"/>
      <c r="P665" s="90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  <c r="AC665" s="81"/>
      <c r="AD665" s="81"/>
      <c r="AE665" s="90"/>
      <c r="AF665" s="81"/>
      <c r="AG665" s="81"/>
      <c r="AH665" s="81"/>
      <c r="AI665" s="81"/>
      <c r="AJ665" s="81"/>
      <c r="AK665" s="81"/>
      <c r="AL665" s="81"/>
      <c r="AM665" s="81" t="n">
        <f aca="false">O665+Q665+S665+U665+W665+Y665+AA665+AC665+AE665+AG665+AI665+AK665</f>
        <v>0</v>
      </c>
    </row>
    <row collapsed="false" customFormat="false" customHeight="true" hidden="false" ht="16.2" outlineLevel="0" r="666">
      <c r="A666" s="80"/>
      <c r="B666" s="89"/>
      <c r="C666" s="85"/>
      <c r="D666" s="85"/>
      <c r="E666" s="83" t="s">
        <v>1037</v>
      </c>
      <c r="F666" s="84" t="s">
        <v>1036</v>
      </c>
      <c r="G666" s="85"/>
      <c r="H666" s="85"/>
      <c r="I666" s="85"/>
      <c r="J666" s="85"/>
      <c r="K666" s="86"/>
      <c r="L666" s="86"/>
      <c r="M666" s="90" t="n">
        <f aca="false">691+477</f>
        <v>1168</v>
      </c>
      <c r="N666" s="91" t="n">
        <f aca="false">1103+949</f>
        <v>2052</v>
      </c>
      <c r="O666" s="90" t="n">
        <v>192</v>
      </c>
      <c r="P666" s="90" t="s">
        <v>1005</v>
      </c>
      <c r="Q666" s="81" t="n">
        <v>204</v>
      </c>
      <c r="R666" s="81"/>
      <c r="S666" s="81" t="n">
        <v>171</v>
      </c>
      <c r="T666" s="81" t="s">
        <v>1005</v>
      </c>
      <c r="U666" s="81" t="n">
        <v>147</v>
      </c>
      <c r="V666" s="81" t="s">
        <v>1005</v>
      </c>
      <c r="W666" s="81" t="n">
        <v>100</v>
      </c>
      <c r="X666" s="81" t="s">
        <v>1005</v>
      </c>
      <c r="Y666" s="81" t="n">
        <v>94</v>
      </c>
      <c r="Z666" s="81" t="s">
        <v>1005</v>
      </c>
      <c r="AA666" s="81" t="n">
        <v>65</v>
      </c>
      <c r="AB666" s="81" t="s">
        <v>1005</v>
      </c>
      <c r="AC666" s="81" t="n">
        <v>123</v>
      </c>
      <c r="AD666" s="81" t="s">
        <v>1005</v>
      </c>
      <c r="AE666" s="90" t="n">
        <v>123</v>
      </c>
      <c r="AF666" s="81" t="s">
        <v>1005</v>
      </c>
      <c r="AG666" s="81" t="n">
        <f aca="false">118+78</f>
        <v>196</v>
      </c>
      <c r="AH666" s="81" t="s">
        <v>1005</v>
      </c>
      <c r="AI666" s="81" t="n">
        <f aca="false">140+85</f>
        <v>225</v>
      </c>
      <c r="AJ666" s="81" t="s">
        <v>1005</v>
      </c>
      <c r="AK666" s="81" t="n">
        <f aca="false">163+91</f>
        <v>254</v>
      </c>
      <c r="AL666" s="81" t="s">
        <v>1005</v>
      </c>
      <c r="AM666" s="81" t="n">
        <f aca="false">O666+Q666+S666+U666+W666+Y666+AA666+AC666+AE666+AG666+AI666+AK666</f>
        <v>1894</v>
      </c>
    </row>
    <row collapsed="false" customFormat="false" customHeight="true" hidden="false" ht="16.2" outlineLevel="0" r="667">
      <c r="A667" s="80" t="n">
        <v>347</v>
      </c>
      <c r="B667" s="81" t="s">
        <v>514</v>
      </c>
      <c r="C667" s="82" t="s">
        <v>1033</v>
      </c>
      <c r="D667" s="82" t="s">
        <v>1034</v>
      </c>
      <c r="E667" s="83" t="s">
        <v>1035</v>
      </c>
      <c r="F667" s="84" t="s">
        <v>1036</v>
      </c>
      <c r="G667" s="85"/>
      <c r="H667" s="85"/>
      <c r="I667" s="85"/>
      <c r="J667" s="85"/>
      <c r="K667" s="86" t="s">
        <v>53</v>
      </c>
      <c r="L667" s="86" t="s">
        <v>53</v>
      </c>
      <c r="M667" s="90"/>
      <c r="N667" s="90"/>
      <c r="O667" s="90"/>
      <c r="P667" s="90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  <c r="AC667" s="81"/>
      <c r="AD667" s="81"/>
      <c r="AE667" s="90"/>
      <c r="AF667" s="81"/>
      <c r="AG667" s="81"/>
      <c r="AH667" s="81"/>
      <c r="AI667" s="81"/>
      <c r="AJ667" s="81"/>
      <c r="AK667" s="81"/>
      <c r="AL667" s="81"/>
      <c r="AM667" s="81" t="n">
        <f aca="false">O667+Q667+S667+U667+W667+Y667+AA667+AC667+AE667+AG667+AI667+AK667</f>
        <v>0</v>
      </c>
    </row>
    <row collapsed="false" customFormat="false" customHeight="true" hidden="false" ht="16.2" outlineLevel="0" r="668">
      <c r="A668" s="80"/>
      <c r="B668" s="89"/>
      <c r="C668" s="85"/>
      <c r="D668" s="85"/>
      <c r="E668" s="83" t="s">
        <v>1037</v>
      </c>
      <c r="F668" s="84" t="s">
        <v>1036</v>
      </c>
      <c r="G668" s="85"/>
      <c r="H668" s="85"/>
      <c r="I668" s="85"/>
      <c r="J668" s="85"/>
      <c r="K668" s="86"/>
      <c r="L668" s="86"/>
      <c r="M668" s="90" t="n">
        <f aca="false">2215+1382</f>
        <v>3597</v>
      </c>
      <c r="N668" s="91" t="n">
        <f aca="false">2157+5959</f>
        <v>8116</v>
      </c>
      <c r="O668" s="90" t="n">
        <v>340</v>
      </c>
      <c r="P668" s="90" t="s">
        <v>1005</v>
      </c>
      <c r="Q668" s="81" t="n">
        <v>336</v>
      </c>
      <c r="R668" s="81"/>
      <c r="S668" s="81" t="n">
        <v>304</v>
      </c>
      <c r="T668" s="81" t="s">
        <v>1005</v>
      </c>
      <c r="U668" s="81" t="n">
        <v>319</v>
      </c>
      <c r="V668" s="81" t="s">
        <v>1005</v>
      </c>
      <c r="W668" s="81" t="n">
        <v>207</v>
      </c>
      <c r="X668" s="81" t="s">
        <v>1005</v>
      </c>
      <c r="Y668" s="81" t="n">
        <v>202</v>
      </c>
      <c r="Z668" s="81" t="s">
        <v>1005</v>
      </c>
      <c r="AA668" s="81" t="n">
        <v>179</v>
      </c>
      <c r="AB668" s="81" t="s">
        <v>1005</v>
      </c>
      <c r="AC668" s="81" t="n">
        <v>183</v>
      </c>
      <c r="AD668" s="81" t="s">
        <v>1005</v>
      </c>
      <c r="AE668" s="90" t="n">
        <v>183</v>
      </c>
      <c r="AF668" s="81" t="s">
        <v>1005</v>
      </c>
      <c r="AG668" s="81" t="n">
        <f aca="false">168+106</f>
        <v>274</v>
      </c>
      <c r="AH668" s="81" t="s">
        <v>1005</v>
      </c>
      <c r="AI668" s="81" t="n">
        <f aca="false">247+139</f>
        <v>386</v>
      </c>
      <c r="AJ668" s="81" t="s">
        <v>1005</v>
      </c>
      <c r="AK668" s="81" t="n">
        <f aca="false">240+139</f>
        <v>379</v>
      </c>
      <c r="AL668" s="81" t="s">
        <v>1005</v>
      </c>
      <c r="AM668" s="81" t="n">
        <f aca="false">O668+Q668+S668+U668+W668+Y668+AA668+AC668+AE668+AG668+AI668+AK668</f>
        <v>3292</v>
      </c>
    </row>
    <row collapsed="false" customFormat="false" customHeight="true" hidden="false" ht="16.2" outlineLevel="0" r="669">
      <c r="A669" s="80" t="n">
        <v>348</v>
      </c>
      <c r="B669" s="81" t="s">
        <v>515</v>
      </c>
      <c r="C669" s="82" t="s">
        <v>1033</v>
      </c>
      <c r="D669" s="82" t="s">
        <v>1034</v>
      </c>
      <c r="E669" s="83" t="s">
        <v>1035</v>
      </c>
      <c r="F669" s="84" t="s">
        <v>1036</v>
      </c>
      <c r="G669" s="85"/>
      <c r="H669" s="85"/>
      <c r="I669" s="85"/>
      <c r="J669" s="85"/>
      <c r="K669" s="86" t="s">
        <v>53</v>
      </c>
      <c r="L669" s="86" t="s">
        <v>53</v>
      </c>
      <c r="M669" s="90"/>
      <c r="N669" s="90"/>
      <c r="O669" s="90"/>
      <c r="P669" s="90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  <c r="AC669" s="81"/>
      <c r="AD669" s="81"/>
      <c r="AE669" s="90"/>
      <c r="AF669" s="81"/>
      <c r="AG669" s="81"/>
      <c r="AH669" s="81"/>
      <c r="AI669" s="81"/>
      <c r="AJ669" s="81"/>
      <c r="AK669" s="81"/>
      <c r="AL669" s="81"/>
      <c r="AM669" s="81" t="n">
        <f aca="false">O669+Q669+S669+U669+W669+Y669+AA669+AC669+AE669+AG669+AI669+AK669</f>
        <v>0</v>
      </c>
    </row>
    <row collapsed="false" customFormat="false" customHeight="true" hidden="false" ht="16.2" outlineLevel="0" r="670">
      <c r="A670" s="80"/>
      <c r="B670" s="89"/>
      <c r="C670" s="85"/>
      <c r="D670" s="85"/>
      <c r="E670" s="83" t="s">
        <v>1037</v>
      </c>
      <c r="F670" s="84" t="s">
        <v>1036</v>
      </c>
      <c r="G670" s="85"/>
      <c r="H670" s="85"/>
      <c r="I670" s="85"/>
      <c r="J670" s="85"/>
      <c r="K670" s="86"/>
      <c r="L670" s="86"/>
      <c r="M670" s="90" t="n">
        <v>0</v>
      </c>
      <c r="N670" s="91" t="n">
        <f aca="false">31960+26365</f>
        <v>58325</v>
      </c>
      <c r="O670" s="90" t="n">
        <v>3800</v>
      </c>
      <c r="P670" s="90" t="s">
        <v>1005</v>
      </c>
      <c r="Q670" s="81" t="n">
        <v>6320</v>
      </c>
      <c r="R670" s="81"/>
      <c r="S670" s="81" t="n">
        <v>5440</v>
      </c>
      <c r="T670" s="81" t="s">
        <v>1005</v>
      </c>
      <c r="U670" s="81" t="n">
        <v>5680</v>
      </c>
      <c r="V670" s="81" t="s">
        <v>1005</v>
      </c>
      <c r="W670" s="81" t="n">
        <v>3640</v>
      </c>
      <c r="X670" s="81" t="s">
        <v>1005</v>
      </c>
      <c r="Y670" s="81" t="n">
        <v>4000</v>
      </c>
      <c r="Z670" s="81" t="s">
        <v>1005</v>
      </c>
      <c r="AA670" s="81" t="n">
        <v>3320</v>
      </c>
      <c r="AB670" s="81" t="s">
        <v>1005</v>
      </c>
      <c r="AC670" s="81" t="n">
        <v>4440</v>
      </c>
      <c r="AD670" s="81" t="s">
        <v>1005</v>
      </c>
      <c r="AE670" s="90" t="n">
        <v>4440</v>
      </c>
      <c r="AF670" s="81" t="s">
        <v>1005</v>
      </c>
      <c r="AG670" s="81" t="n">
        <f aca="false">2320+2120</f>
        <v>4440</v>
      </c>
      <c r="AH670" s="81" t="s">
        <v>1005</v>
      </c>
      <c r="AI670" s="81" t="n">
        <f aca="false">1960+2520</f>
        <v>4480</v>
      </c>
      <c r="AJ670" s="81" t="s">
        <v>1005</v>
      </c>
      <c r="AK670" s="81" t="n">
        <f aca="false">3440+2800</f>
        <v>6240</v>
      </c>
      <c r="AL670" s="81" t="s">
        <v>1005</v>
      </c>
      <c r="AM670" s="81" t="n">
        <f aca="false">O670+Q670+S670+U670+W670+Y670+AA670+AC670+AE670+AG670+AI670+AK670</f>
        <v>56240</v>
      </c>
    </row>
    <row collapsed="false" customFormat="false" customHeight="true" hidden="false" ht="16.2" outlineLevel="0" r="671">
      <c r="A671" s="80" t="n">
        <v>349</v>
      </c>
      <c r="B671" s="81" t="s">
        <v>516</v>
      </c>
      <c r="C671" s="82" t="s">
        <v>1033</v>
      </c>
      <c r="D671" s="82" t="s">
        <v>1034</v>
      </c>
      <c r="E671" s="83" t="s">
        <v>1035</v>
      </c>
      <c r="F671" s="84" t="s">
        <v>1036</v>
      </c>
      <c r="G671" s="85"/>
      <c r="H671" s="85"/>
      <c r="I671" s="85"/>
      <c r="J671" s="85"/>
      <c r="K671" s="86" t="s">
        <v>53</v>
      </c>
      <c r="L671" s="86" t="s">
        <v>53</v>
      </c>
      <c r="M671" s="90"/>
      <c r="N671" s="90"/>
      <c r="O671" s="90"/>
      <c r="P671" s="90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  <c r="AC671" s="81"/>
      <c r="AD671" s="81"/>
      <c r="AE671" s="90"/>
      <c r="AF671" s="81"/>
      <c r="AG671" s="81"/>
      <c r="AH671" s="81"/>
      <c r="AI671" s="81"/>
      <c r="AJ671" s="81"/>
      <c r="AK671" s="81"/>
      <c r="AL671" s="81"/>
      <c r="AM671" s="81" t="n">
        <f aca="false">O671+Q671+S671+U671+W671+Y671+AA671+AC671+AE671+AG671+AI671+AK671</f>
        <v>0</v>
      </c>
    </row>
    <row collapsed="false" customFormat="false" customHeight="true" hidden="false" ht="16.2" outlineLevel="0" r="672">
      <c r="A672" s="80"/>
      <c r="B672" s="89"/>
      <c r="C672" s="85"/>
      <c r="D672" s="85"/>
      <c r="E672" s="83" t="s">
        <v>1037</v>
      </c>
      <c r="F672" s="84" t="s">
        <v>1036</v>
      </c>
      <c r="G672" s="85"/>
      <c r="H672" s="85"/>
      <c r="I672" s="85"/>
      <c r="J672" s="85"/>
      <c r="K672" s="86"/>
      <c r="L672" s="86"/>
      <c r="M672" s="90" t="n">
        <f aca="false">3166+1625</f>
        <v>4791</v>
      </c>
      <c r="N672" s="91" t="n">
        <f aca="false">3256+1808</f>
        <v>5064</v>
      </c>
      <c r="O672" s="90" t="n">
        <v>410</v>
      </c>
      <c r="P672" s="90" t="s">
        <v>1005</v>
      </c>
      <c r="Q672" s="81" t="n">
        <v>443</v>
      </c>
      <c r="R672" s="81"/>
      <c r="S672" s="81" t="n">
        <v>282</v>
      </c>
      <c r="T672" s="81" t="s">
        <v>1005</v>
      </c>
      <c r="U672" s="81" t="n">
        <v>376</v>
      </c>
      <c r="V672" s="81" t="s">
        <v>1005</v>
      </c>
      <c r="W672" s="81" t="n">
        <v>222</v>
      </c>
      <c r="X672" s="81" t="s">
        <v>1005</v>
      </c>
      <c r="Y672" s="81" t="n">
        <v>292</v>
      </c>
      <c r="Z672" s="81" t="s">
        <v>1005</v>
      </c>
      <c r="AA672" s="81" t="n">
        <v>436</v>
      </c>
      <c r="AB672" s="81" t="s">
        <v>1005</v>
      </c>
      <c r="AC672" s="81" t="n">
        <v>227</v>
      </c>
      <c r="AD672" s="81" t="s">
        <v>1005</v>
      </c>
      <c r="AE672" s="90" t="n">
        <v>227</v>
      </c>
      <c r="AF672" s="81" t="s">
        <v>1005</v>
      </c>
      <c r="AG672" s="81" t="n">
        <f aca="false">226+99</f>
        <v>325</v>
      </c>
      <c r="AH672" s="81" t="s">
        <v>1005</v>
      </c>
      <c r="AI672" s="81" t="n">
        <f aca="false">329+151</f>
        <v>480</v>
      </c>
      <c r="AJ672" s="81" t="s">
        <v>1005</v>
      </c>
      <c r="AK672" s="81" t="n">
        <f aca="false">352+139</f>
        <v>491</v>
      </c>
      <c r="AL672" s="81" t="s">
        <v>1005</v>
      </c>
      <c r="AM672" s="81" t="n">
        <f aca="false">O672+Q672+S672+U672+W672+Y672+AA672+AC672+AE672+AG672+AI672+AK672</f>
        <v>4211</v>
      </c>
    </row>
    <row collapsed="false" customFormat="false" customHeight="true" hidden="false" ht="16.2" outlineLevel="0" r="673">
      <c r="A673" s="80" t="n">
        <v>350</v>
      </c>
      <c r="B673" s="81" t="s">
        <v>518</v>
      </c>
      <c r="C673" s="82" t="s">
        <v>1033</v>
      </c>
      <c r="D673" s="82" t="s">
        <v>1034</v>
      </c>
      <c r="E673" s="83" t="s">
        <v>1035</v>
      </c>
      <c r="F673" s="84" t="s">
        <v>1036</v>
      </c>
      <c r="G673" s="85"/>
      <c r="H673" s="85"/>
      <c r="I673" s="85"/>
      <c r="J673" s="85"/>
      <c r="K673" s="86" t="s">
        <v>53</v>
      </c>
      <c r="L673" s="86" t="s">
        <v>53</v>
      </c>
      <c r="M673" s="90"/>
      <c r="N673" s="90"/>
      <c r="O673" s="90"/>
      <c r="P673" s="90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  <c r="AC673" s="81"/>
      <c r="AD673" s="81"/>
      <c r="AE673" s="90"/>
      <c r="AF673" s="81"/>
      <c r="AG673" s="81"/>
      <c r="AH673" s="81"/>
      <c r="AI673" s="81"/>
      <c r="AJ673" s="81"/>
      <c r="AK673" s="81"/>
      <c r="AL673" s="81"/>
      <c r="AM673" s="81" t="n">
        <f aca="false">O673+Q673+S673+U673+W673+Y673+AA673+AC673+AE673+AG673+AI673+AK673</f>
        <v>0</v>
      </c>
    </row>
    <row collapsed="false" customFormat="false" customHeight="true" hidden="false" ht="16.2" outlineLevel="0" r="674">
      <c r="A674" s="80"/>
      <c r="B674" s="89"/>
      <c r="C674" s="85"/>
      <c r="D674" s="85"/>
      <c r="E674" s="83" t="s">
        <v>1037</v>
      </c>
      <c r="F674" s="84" t="s">
        <v>1036</v>
      </c>
      <c r="G674" s="85"/>
      <c r="H674" s="85"/>
      <c r="I674" s="85"/>
      <c r="J674" s="85"/>
      <c r="K674" s="86"/>
      <c r="L674" s="86"/>
      <c r="M674" s="90" t="n">
        <f aca="false">1668</f>
        <v>1668</v>
      </c>
      <c r="N674" s="91" t="n">
        <f aca="false">1822</f>
        <v>1822</v>
      </c>
      <c r="O674" s="90" t="n">
        <v>279</v>
      </c>
      <c r="P674" s="90" t="s">
        <v>1005</v>
      </c>
      <c r="Q674" s="81" t="n">
        <v>259</v>
      </c>
      <c r="R674" s="81"/>
      <c r="S674" s="81" t="n">
        <v>178</v>
      </c>
      <c r="T674" s="81" t="s">
        <v>1005</v>
      </c>
      <c r="U674" s="81" t="n">
        <v>192</v>
      </c>
      <c r="V674" s="81" t="s">
        <v>1005</v>
      </c>
      <c r="W674" s="81" t="n">
        <v>132</v>
      </c>
      <c r="X674" s="81" t="s">
        <v>1005</v>
      </c>
      <c r="Y674" s="81" t="n">
        <v>121</v>
      </c>
      <c r="Z674" s="81" t="s">
        <v>1005</v>
      </c>
      <c r="AA674" s="81" t="n">
        <v>99</v>
      </c>
      <c r="AB674" s="81" t="s">
        <v>1005</v>
      </c>
      <c r="AC674" s="81" t="n">
        <v>122</v>
      </c>
      <c r="AD674" s="81" t="s">
        <v>1005</v>
      </c>
      <c r="AE674" s="90" t="n">
        <v>122</v>
      </c>
      <c r="AF674" s="81" t="s">
        <v>1005</v>
      </c>
      <c r="AG674" s="81" t="n">
        <f aca="false">159</f>
        <v>159</v>
      </c>
      <c r="AH674" s="81" t="s">
        <v>1005</v>
      </c>
      <c r="AI674" s="81" t="n">
        <f aca="false">278</f>
        <v>278</v>
      </c>
      <c r="AJ674" s="81" t="s">
        <v>1005</v>
      </c>
      <c r="AK674" s="81" t="n">
        <f aca="false">237</f>
        <v>237</v>
      </c>
      <c r="AL674" s="81" t="s">
        <v>1005</v>
      </c>
      <c r="AM674" s="81" t="n">
        <f aca="false">O674+Q674+S674+U674+W674+Y674+AA674+AC674+AE674+AG674+AI674+AK674</f>
        <v>2178</v>
      </c>
    </row>
    <row collapsed="false" customFormat="false" customHeight="true" hidden="false" ht="16.2" outlineLevel="0" r="675">
      <c r="A675" s="80" t="n">
        <v>351</v>
      </c>
      <c r="B675" s="81" t="s">
        <v>519</v>
      </c>
      <c r="C675" s="82" t="s">
        <v>1033</v>
      </c>
      <c r="D675" s="82" t="s">
        <v>1034</v>
      </c>
      <c r="E675" s="83" t="s">
        <v>1035</v>
      </c>
      <c r="F675" s="84" t="s">
        <v>1036</v>
      </c>
      <c r="G675" s="85"/>
      <c r="H675" s="85"/>
      <c r="I675" s="85"/>
      <c r="J675" s="85"/>
      <c r="K675" s="86" t="s">
        <v>53</v>
      </c>
      <c r="L675" s="86" t="s">
        <v>53</v>
      </c>
      <c r="M675" s="90"/>
      <c r="N675" s="90"/>
      <c r="O675" s="90"/>
      <c r="P675" s="90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  <c r="AC675" s="81"/>
      <c r="AD675" s="81"/>
      <c r="AE675" s="90"/>
      <c r="AF675" s="81"/>
      <c r="AG675" s="81"/>
      <c r="AH675" s="81"/>
      <c r="AI675" s="81"/>
      <c r="AJ675" s="81"/>
      <c r="AK675" s="81"/>
      <c r="AL675" s="81"/>
      <c r="AM675" s="81" t="n">
        <f aca="false">O675+Q675+S675+U675+W675+Y675+AA675+AC675+AE675+AG675+AI675+AK675</f>
        <v>0</v>
      </c>
    </row>
    <row collapsed="false" customFormat="false" customHeight="true" hidden="false" ht="16.2" outlineLevel="0" r="676">
      <c r="A676" s="80"/>
      <c r="B676" s="89"/>
      <c r="C676" s="85"/>
      <c r="D676" s="85"/>
      <c r="E676" s="83" t="s">
        <v>1037</v>
      </c>
      <c r="F676" s="84" t="s">
        <v>1036</v>
      </c>
      <c r="G676" s="85"/>
      <c r="H676" s="85"/>
      <c r="I676" s="85"/>
      <c r="J676" s="85"/>
      <c r="K676" s="86"/>
      <c r="L676" s="86"/>
      <c r="M676" s="90" t="n">
        <f aca="false">938+833</f>
        <v>1771</v>
      </c>
      <c r="N676" s="91" t="n">
        <f aca="false">1090+927</f>
        <v>2017</v>
      </c>
      <c r="O676" s="90" t="n">
        <v>226</v>
      </c>
      <c r="P676" s="90" t="s">
        <v>1005</v>
      </c>
      <c r="Q676" s="81" t="n">
        <v>237</v>
      </c>
      <c r="R676" s="81"/>
      <c r="S676" s="81" t="n">
        <v>156</v>
      </c>
      <c r="T676" s="81" t="s">
        <v>1005</v>
      </c>
      <c r="U676" s="81" t="n">
        <v>184</v>
      </c>
      <c r="V676" s="81" t="s">
        <v>1005</v>
      </c>
      <c r="W676" s="81" t="n">
        <v>129</v>
      </c>
      <c r="X676" s="81" t="s">
        <v>1005</v>
      </c>
      <c r="Y676" s="81" t="n">
        <v>112</v>
      </c>
      <c r="Z676" s="81" t="s">
        <v>1005</v>
      </c>
      <c r="AA676" s="81" t="n">
        <v>60</v>
      </c>
      <c r="AB676" s="81" t="s">
        <v>1005</v>
      </c>
      <c r="AC676" s="81" t="n">
        <v>155</v>
      </c>
      <c r="AD676" s="81" t="s">
        <v>1005</v>
      </c>
      <c r="AE676" s="90" t="n">
        <v>155</v>
      </c>
      <c r="AF676" s="81" t="s">
        <v>1005</v>
      </c>
      <c r="AG676" s="81" t="n">
        <f aca="false">99+87</f>
        <v>186</v>
      </c>
      <c r="AH676" s="81" t="s">
        <v>1005</v>
      </c>
      <c r="AI676" s="81" t="n">
        <f aca="false">156+107</f>
        <v>263</v>
      </c>
      <c r="AJ676" s="81" t="s">
        <v>1005</v>
      </c>
      <c r="AK676" s="81" t="n">
        <f aca="false">160+102</f>
        <v>262</v>
      </c>
      <c r="AL676" s="81" t="s">
        <v>1005</v>
      </c>
      <c r="AM676" s="81" t="n">
        <f aca="false">O676+Q676+S676+U676+W676+Y676+AA676+AC676+AE676+AG676+AI676+AK676</f>
        <v>2125</v>
      </c>
    </row>
    <row collapsed="false" customFormat="false" customHeight="true" hidden="false" ht="16.2" outlineLevel="0" r="677">
      <c r="A677" s="80" t="n">
        <v>352</v>
      </c>
      <c r="B677" s="81" t="s">
        <v>520</v>
      </c>
      <c r="C677" s="82" t="s">
        <v>1033</v>
      </c>
      <c r="D677" s="82" t="s">
        <v>1034</v>
      </c>
      <c r="E677" s="83" t="s">
        <v>1035</v>
      </c>
      <c r="F677" s="84" t="s">
        <v>1036</v>
      </c>
      <c r="G677" s="85"/>
      <c r="H677" s="85"/>
      <c r="I677" s="85"/>
      <c r="J677" s="85"/>
      <c r="K677" s="86" t="s">
        <v>53</v>
      </c>
      <c r="L677" s="86" t="s">
        <v>53</v>
      </c>
      <c r="M677" s="90"/>
      <c r="N677" s="90"/>
      <c r="O677" s="90"/>
      <c r="P677" s="90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  <c r="AC677" s="81"/>
      <c r="AD677" s="81"/>
      <c r="AE677" s="90"/>
      <c r="AF677" s="81"/>
      <c r="AG677" s="81"/>
      <c r="AH677" s="81"/>
      <c r="AI677" s="81"/>
      <c r="AJ677" s="81"/>
      <c r="AK677" s="81"/>
      <c r="AL677" s="81"/>
      <c r="AM677" s="81" t="n">
        <f aca="false">O677+Q677+S677+U677+W677+Y677+AA677+AC677+AE677+AG677+AI677+AK677</f>
        <v>0</v>
      </c>
    </row>
    <row collapsed="false" customFormat="false" customHeight="true" hidden="false" ht="16.2" outlineLevel="0" r="678">
      <c r="A678" s="80"/>
      <c r="B678" s="89"/>
      <c r="C678" s="85"/>
      <c r="D678" s="85"/>
      <c r="E678" s="83" t="s">
        <v>1037</v>
      </c>
      <c r="F678" s="84" t="s">
        <v>1036</v>
      </c>
      <c r="G678" s="85"/>
      <c r="H678" s="85"/>
      <c r="I678" s="85"/>
      <c r="J678" s="85"/>
      <c r="K678" s="86"/>
      <c r="L678" s="86"/>
      <c r="M678" s="90" t="n">
        <f aca="false">1053+692</f>
        <v>1745</v>
      </c>
      <c r="N678" s="91" t="n">
        <f aca="false">1113+1509</f>
        <v>2622</v>
      </c>
      <c r="O678" s="90" t="n">
        <v>234</v>
      </c>
      <c r="P678" s="90" t="s">
        <v>1005</v>
      </c>
      <c r="Q678" s="81" t="n">
        <v>222</v>
      </c>
      <c r="R678" s="81"/>
      <c r="S678" s="81" t="n">
        <v>165</v>
      </c>
      <c r="T678" s="81" t="s">
        <v>1005</v>
      </c>
      <c r="U678" s="81" t="n">
        <v>194</v>
      </c>
      <c r="V678" s="81" t="s">
        <v>1005</v>
      </c>
      <c r="W678" s="81" t="n">
        <v>130</v>
      </c>
      <c r="X678" s="81" t="s">
        <v>1005</v>
      </c>
      <c r="Y678" s="81" t="n">
        <v>121</v>
      </c>
      <c r="Z678" s="81" t="s">
        <v>1005</v>
      </c>
      <c r="AA678" s="81" t="n">
        <v>123</v>
      </c>
      <c r="AB678" s="81" t="s">
        <v>1005</v>
      </c>
      <c r="AC678" s="81" t="n">
        <v>115</v>
      </c>
      <c r="AD678" s="81" t="s">
        <v>1005</v>
      </c>
      <c r="AE678" s="90" t="n">
        <v>115</v>
      </c>
      <c r="AF678" s="81" t="s">
        <v>1005</v>
      </c>
      <c r="AG678" s="81" t="n">
        <f aca="false">84+66</f>
        <v>150</v>
      </c>
      <c r="AH678" s="81" t="s">
        <v>1005</v>
      </c>
      <c r="AI678" s="81" t="n">
        <f aca="false">133+114</f>
        <v>247</v>
      </c>
      <c r="AJ678" s="81" t="s">
        <v>1005</v>
      </c>
      <c r="AK678" s="81" t="n">
        <f aca="false">136+64</f>
        <v>200</v>
      </c>
      <c r="AL678" s="81" t="s">
        <v>1005</v>
      </c>
      <c r="AM678" s="81" t="n">
        <f aca="false">O678+Q678+S678+U678+W678+Y678+AA678+AC678+AE678+AG678+AI678+AK678</f>
        <v>2016</v>
      </c>
    </row>
    <row collapsed="false" customFormat="false" customHeight="true" hidden="false" ht="16.2" outlineLevel="0" r="679">
      <c r="A679" s="80" t="n">
        <v>353</v>
      </c>
      <c r="B679" s="81" t="s">
        <v>521</v>
      </c>
      <c r="C679" s="82" t="s">
        <v>1033</v>
      </c>
      <c r="D679" s="82" t="s">
        <v>1034</v>
      </c>
      <c r="E679" s="83" t="s">
        <v>1035</v>
      </c>
      <c r="F679" s="84" t="s">
        <v>1036</v>
      </c>
      <c r="G679" s="85"/>
      <c r="H679" s="85"/>
      <c r="I679" s="85"/>
      <c r="J679" s="85"/>
      <c r="K679" s="86" t="s">
        <v>53</v>
      </c>
      <c r="L679" s="86" t="s">
        <v>53</v>
      </c>
      <c r="M679" s="90"/>
      <c r="N679" s="90"/>
      <c r="O679" s="90"/>
      <c r="P679" s="90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  <c r="AC679" s="81"/>
      <c r="AD679" s="81"/>
      <c r="AE679" s="90"/>
      <c r="AF679" s="81"/>
      <c r="AG679" s="81"/>
      <c r="AH679" s="81"/>
      <c r="AI679" s="81"/>
      <c r="AJ679" s="81"/>
      <c r="AK679" s="81"/>
      <c r="AL679" s="81"/>
      <c r="AM679" s="81" t="n">
        <f aca="false">O679+Q679+S679+U679+W679+Y679+AA679+AC679+AE679+AG679+AI679+AK679</f>
        <v>0</v>
      </c>
    </row>
    <row collapsed="false" customFormat="false" customHeight="true" hidden="false" ht="16.2" outlineLevel="0" r="680">
      <c r="A680" s="80"/>
      <c r="B680" s="89"/>
      <c r="C680" s="85"/>
      <c r="D680" s="85"/>
      <c r="E680" s="83" t="s">
        <v>1037</v>
      </c>
      <c r="F680" s="84" t="s">
        <v>1036</v>
      </c>
      <c r="G680" s="85"/>
      <c r="H680" s="85"/>
      <c r="I680" s="85"/>
      <c r="J680" s="85"/>
      <c r="K680" s="86"/>
      <c r="L680" s="86"/>
      <c r="M680" s="90" t="n">
        <f aca="false">3833+3383+54+69</f>
        <v>7339</v>
      </c>
      <c r="N680" s="91" t="n">
        <f aca="false">4862+3767</f>
        <v>8629</v>
      </c>
      <c r="O680" s="90" t="n">
        <v>1290</v>
      </c>
      <c r="P680" s="90" t="s">
        <v>1005</v>
      </c>
      <c r="Q680" s="81" t="n">
        <v>1282</v>
      </c>
      <c r="R680" s="81"/>
      <c r="S680" s="81" t="n">
        <v>953</v>
      </c>
      <c r="T680" s="81" t="s">
        <v>1005</v>
      </c>
      <c r="U680" s="81" t="n">
        <v>874</v>
      </c>
      <c r="V680" s="81" t="s">
        <v>1005</v>
      </c>
      <c r="W680" s="81" t="n">
        <v>529</v>
      </c>
      <c r="X680" s="81" t="s">
        <v>1005</v>
      </c>
      <c r="Y680" s="81" t="n">
        <v>451</v>
      </c>
      <c r="Z680" s="81" t="s">
        <v>1005</v>
      </c>
      <c r="AA680" s="81" t="n">
        <v>391</v>
      </c>
      <c r="AB680" s="81" t="s">
        <v>1005</v>
      </c>
      <c r="AC680" s="81" t="n">
        <v>728</v>
      </c>
      <c r="AD680" s="81" t="s">
        <v>1005</v>
      </c>
      <c r="AE680" s="90" t="n">
        <v>728</v>
      </c>
      <c r="AF680" s="81" t="s">
        <v>1005</v>
      </c>
      <c r="AG680" s="81" t="n">
        <f aca="false">403+355</f>
        <v>758</v>
      </c>
      <c r="AH680" s="81" t="s">
        <v>1005</v>
      </c>
      <c r="AI680" s="81" t="n">
        <f aca="false">689+530</f>
        <v>1219</v>
      </c>
      <c r="AJ680" s="81" t="s">
        <v>1005</v>
      </c>
      <c r="AK680" s="81" t="n">
        <f aca="false">929+635</f>
        <v>1564</v>
      </c>
      <c r="AL680" s="81" t="s">
        <v>1005</v>
      </c>
      <c r="AM680" s="81" t="n">
        <f aca="false">O680+Q680+S680+U680+W680+Y680+AA680+AC680+AE680+AG680+AI680+AK680</f>
        <v>10767</v>
      </c>
    </row>
    <row collapsed="false" customFormat="false" customHeight="true" hidden="false" ht="16.2" outlineLevel="0" r="681">
      <c r="A681" s="80" t="n">
        <v>354</v>
      </c>
      <c r="B681" s="81" t="s">
        <v>522</v>
      </c>
      <c r="C681" s="82" t="s">
        <v>1033</v>
      </c>
      <c r="D681" s="82" t="s">
        <v>1034</v>
      </c>
      <c r="E681" s="83" t="s">
        <v>1035</v>
      </c>
      <c r="F681" s="84" t="s">
        <v>1036</v>
      </c>
      <c r="G681" s="85"/>
      <c r="H681" s="85"/>
      <c r="I681" s="85"/>
      <c r="J681" s="85"/>
      <c r="K681" s="86" t="s">
        <v>53</v>
      </c>
      <c r="L681" s="86" t="s">
        <v>53</v>
      </c>
      <c r="M681" s="90"/>
      <c r="N681" s="90"/>
      <c r="O681" s="90"/>
      <c r="P681" s="90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  <c r="AC681" s="81"/>
      <c r="AD681" s="81"/>
      <c r="AE681" s="90"/>
      <c r="AF681" s="81"/>
      <c r="AG681" s="81"/>
      <c r="AH681" s="81"/>
      <c r="AI681" s="81"/>
      <c r="AJ681" s="81"/>
      <c r="AK681" s="81"/>
      <c r="AL681" s="81"/>
      <c r="AM681" s="81" t="n">
        <f aca="false">O681+Q681+S681+U681+W681+Y681+AA681+AC681+AE681+AG681+AI681+AK681</f>
        <v>0</v>
      </c>
    </row>
    <row collapsed="false" customFormat="false" customHeight="true" hidden="false" ht="16.2" outlineLevel="0" r="682">
      <c r="A682" s="80"/>
      <c r="B682" s="89"/>
      <c r="C682" s="85"/>
      <c r="D682" s="85"/>
      <c r="E682" s="83" t="s">
        <v>1037</v>
      </c>
      <c r="F682" s="84" t="s">
        <v>1036</v>
      </c>
      <c r="G682" s="85"/>
      <c r="H682" s="85"/>
      <c r="I682" s="85"/>
      <c r="J682" s="85"/>
      <c r="K682" s="86"/>
      <c r="L682" s="86"/>
      <c r="M682" s="90" t="n">
        <f aca="false">1742+1742+2089+2005</f>
        <v>7578</v>
      </c>
      <c r="N682" s="91" t="n">
        <f aca="false">1809+1856+2412+2667</f>
        <v>8744</v>
      </c>
      <c r="O682" s="90" t="n">
        <v>1062</v>
      </c>
      <c r="P682" s="90" t="s">
        <v>1005</v>
      </c>
      <c r="Q682" s="81" t="n">
        <v>981</v>
      </c>
      <c r="R682" s="81"/>
      <c r="S682" s="81" t="n">
        <v>375</v>
      </c>
      <c r="T682" s="81" t="s">
        <v>1005</v>
      </c>
      <c r="U682" s="81" t="n">
        <v>745</v>
      </c>
      <c r="V682" s="81" t="s">
        <v>1005</v>
      </c>
      <c r="W682" s="81" t="n">
        <v>467</v>
      </c>
      <c r="X682" s="81" t="s">
        <v>1005</v>
      </c>
      <c r="Y682" s="81" t="n">
        <v>367</v>
      </c>
      <c r="Z682" s="81" t="s">
        <v>1005</v>
      </c>
      <c r="AA682" s="81" t="n">
        <v>301</v>
      </c>
      <c r="AB682" s="81" t="s">
        <v>1005</v>
      </c>
      <c r="AC682" s="81" t="n">
        <v>168</v>
      </c>
      <c r="AD682" s="81" t="s">
        <v>1005</v>
      </c>
      <c r="AE682" s="90" t="n">
        <v>168</v>
      </c>
      <c r="AF682" s="81" t="s">
        <v>1005</v>
      </c>
      <c r="AG682" s="81" t="n">
        <f aca="false">117+131</f>
        <v>248</v>
      </c>
      <c r="AH682" s="81" t="s">
        <v>1005</v>
      </c>
      <c r="AI682" s="81" t="n">
        <f aca="false">242+206+345+264</f>
        <v>1057</v>
      </c>
      <c r="AJ682" s="81" t="s">
        <v>1005</v>
      </c>
      <c r="AK682" s="81" t="n">
        <f aca="false">311+219+385+260</f>
        <v>1175</v>
      </c>
      <c r="AL682" s="81" t="s">
        <v>1005</v>
      </c>
      <c r="AM682" s="81" t="n">
        <f aca="false">O682+Q682+S682+U682+W682+Y682+AA682+AC682+AE682+AG682+AI682+AK682</f>
        <v>7114</v>
      </c>
    </row>
    <row collapsed="false" customFormat="false" customHeight="true" hidden="false" ht="16.2" outlineLevel="0" r="683">
      <c r="A683" s="80" t="n">
        <v>355</v>
      </c>
      <c r="B683" s="81" t="s">
        <v>524</v>
      </c>
      <c r="C683" s="82" t="s">
        <v>1033</v>
      </c>
      <c r="D683" s="82" t="s">
        <v>1034</v>
      </c>
      <c r="E683" s="83" t="s">
        <v>1035</v>
      </c>
      <c r="F683" s="84" t="s">
        <v>1036</v>
      </c>
      <c r="G683" s="85"/>
      <c r="H683" s="85"/>
      <c r="I683" s="85"/>
      <c r="J683" s="85"/>
      <c r="K683" s="86" t="s">
        <v>53</v>
      </c>
      <c r="L683" s="86" t="s">
        <v>53</v>
      </c>
      <c r="M683" s="90" t="n">
        <f aca="false">4370+354</f>
        <v>4724</v>
      </c>
      <c r="N683" s="90" t="n">
        <f aca="false">6550+2634</f>
        <v>9184</v>
      </c>
      <c r="O683" s="90" t="n">
        <v>1810</v>
      </c>
      <c r="P683" s="90"/>
      <c r="Q683" s="81" t="n">
        <v>170</v>
      </c>
      <c r="R683" s="81"/>
      <c r="S683" s="81" t="n">
        <v>270</v>
      </c>
      <c r="T683" s="81"/>
      <c r="U683" s="81" t="n">
        <v>960</v>
      </c>
      <c r="V683" s="81"/>
      <c r="W683" s="81" t="n">
        <v>730</v>
      </c>
      <c r="X683" s="81"/>
      <c r="Y683" s="81" t="n">
        <v>820</v>
      </c>
      <c r="Z683" s="81"/>
      <c r="AA683" s="81" t="n">
        <v>710</v>
      </c>
      <c r="AB683" s="81"/>
      <c r="AC683" s="81" t="n">
        <v>890</v>
      </c>
      <c r="AD683" s="81"/>
      <c r="AE683" s="90" t="n">
        <v>890</v>
      </c>
      <c r="AF683" s="81"/>
      <c r="AG683" s="81" t="n">
        <f aca="false">580+170</f>
        <v>750</v>
      </c>
      <c r="AH683" s="81"/>
      <c r="AI683" s="81" t="n">
        <f aca="false">640+190</f>
        <v>830</v>
      </c>
      <c r="AJ683" s="81"/>
      <c r="AK683" s="81" t="n">
        <f aca="false">620+180</f>
        <v>800</v>
      </c>
      <c r="AL683" s="81"/>
      <c r="AM683" s="81" t="n">
        <f aca="false">O683+Q683+S683+U683+W683+Y683+AA683+AC683+AE683+AG683+AI683+AK683</f>
        <v>9630</v>
      </c>
    </row>
    <row collapsed="false" customFormat="false" customHeight="true" hidden="false" ht="16.2" outlineLevel="0" r="684">
      <c r="A684" s="80"/>
      <c r="B684" s="89"/>
      <c r="C684" s="85"/>
      <c r="D684" s="85"/>
      <c r="E684" s="83" t="s">
        <v>1037</v>
      </c>
      <c r="F684" s="84" t="s">
        <v>1036</v>
      </c>
      <c r="G684" s="85"/>
      <c r="H684" s="85"/>
      <c r="I684" s="85"/>
      <c r="J684" s="85"/>
      <c r="K684" s="86"/>
      <c r="L684" s="86"/>
      <c r="M684" s="90" t="n">
        <f aca="false">4495+2691+3550+1501+73+31</f>
        <v>12341</v>
      </c>
      <c r="N684" s="91" t="n">
        <f aca="false">4792+3797+3453+1876</f>
        <v>13918</v>
      </c>
      <c r="O684" s="90" t="n">
        <v>1515</v>
      </c>
      <c r="P684" s="90" t="s">
        <v>1005</v>
      </c>
      <c r="Q684" s="81" t="n">
        <v>1400</v>
      </c>
      <c r="R684" s="81"/>
      <c r="S684" s="81" t="n">
        <v>1753</v>
      </c>
      <c r="T684" s="81" t="s">
        <v>1005</v>
      </c>
      <c r="U684" s="81" t="n">
        <v>1491</v>
      </c>
      <c r="V684" s="81" t="s">
        <v>1005</v>
      </c>
      <c r="W684" s="81" t="n">
        <v>1588</v>
      </c>
      <c r="X684" s="81" t="s">
        <v>1005</v>
      </c>
      <c r="Y684" s="81" t="n">
        <v>1430</v>
      </c>
      <c r="Z684" s="81" t="s">
        <v>1005</v>
      </c>
      <c r="AA684" s="81" t="n">
        <v>1242</v>
      </c>
      <c r="AB684" s="81" t="s">
        <v>1005</v>
      </c>
      <c r="AC684" s="81" t="n">
        <v>1654</v>
      </c>
      <c r="AD684" s="81" t="s">
        <v>1005</v>
      </c>
      <c r="AE684" s="90" t="n">
        <v>1654</v>
      </c>
      <c r="AF684" s="81" t="s">
        <v>1005</v>
      </c>
      <c r="AG684" s="81" t="n">
        <f aca="false">651+340+293+123</f>
        <v>1407</v>
      </c>
      <c r="AH684" s="81" t="s">
        <v>1005</v>
      </c>
      <c r="AI684" s="81" t="n">
        <f aca="false">801+425+326+137</f>
        <v>1689</v>
      </c>
      <c r="AJ684" s="81" t="s">
        <v>1005</v>
      </c>
      <c r="AK684" s="81" t="n">
        <f aca="false">798+418</f>
        <v>1216</v>
      </c>
      <c r="AL684" s="81" t="s">
        <v>1005</v>
      </c>
      <c r="AM684" s="81" t="n">
        <f aca="false">O684+Q684+S684+U684+W684+Y684+AA684+AC684+AE684+AG684+AI684+AK684</f>
        <v>18039</v>
      </c>
    </row>
    <row collapsed="false" customFormat="false" customHeight="true" hidden="false" ht="16.2" outlineLevel="0" r="685">
      <c r="A685" s="80" t="n">
        <v>356</v>
      </c>
      <c r="B685" s="81" t="s">
        <v>525</v>
      </c>
      <c r="C685" s="82" t="s">
        <v>1033</v>
      </c>
      <c r="D685" s="82" t="s">
        <v>1034</v>
      </c>
      <c r="E685" s="83" t="s">
        <v>1035</v>
      </c>
      <c r="F685" s="84" t="s">
        <v>1036</v>
      </c>
      <c r="G685" s="85"/>
      <c r="H685" s="85"/>
      <c r="I685" s="85"/>
      <c r="J685" s="85"/>
      <c r="K685" s="86" t="s">
        <v>53</v>
      </c>
      <c r="L685" s="86" t="s">
        <v>53</v>
      </c>
      <c r="M685" s="90"/>
      <c r="N685" s="90"/>
      <c r="O685" s="90"/>
      <c r="P685" s="90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  <c r="AC685" s="81"/>
      <c r="AD685" s="81"/>
      <c r="AE685" s="90"/>
      <c r="AF685" s="81"/>
      <c r="AG685" s="81"/>
      <c r="AH685" s="81"/>
      <c r="AI685" s="81"/>
      <c r="AJ685" s="81"/>
      <c r="AK685" s="81"/>
      <c r="AL685" s="81"/>
      <c r="AM685" s="81" t="n">
        <f aca="false">O685+Q685+S685+U685+W685+Y685+AA685+AC685+AE685+AG685+AI685+AK685</f>
        <v>0</v>
      </c>
    </row>
    <row collapsed="false" customFormat="false" customHeight="true" hidden="false" ht="16.2" outlineLevel="0" r="686">
      <c r="A686" s="80"/>
      <c r="B686" s="89"/>
      <c r="C686" s="85"/>
      <c r="D686" s="85"/>
      <c r="E686" s="83" t="s">
        <v>1037</v>
      </c>
      <c r="F686" s="84" t="s">
        <v>1036</v>
      </c>
      <c r="G686" s="85"/>
      <c r="H686" s="85"/>
      <c r="I686" s="85"/>
      <c r="J686" s="85"/>
      <c r="K686" s="86"/>
      <c r="L686" s="86"/>
      <c r="M686" s="90" t="n">
        <f aca="false">3057+2407</f>
        <v>5464</v>
      </c>
      <c r="N686" s="91" t="n">
        <f aca="false">3264+2326</f>
        <v>5590</v>
      </c>
      <c r="O686" s="90" t="n">
        <v>532</v>
      </c>
      <c r="P686" s="90" t="s">
        <v>1005</v>
      </c>
      <c r="Q686" s="81" t="n">
        <v>531</v>
      </c>
      <c r="R686" s="81"/>
      <c r="S686" s="81" t="n">
        <v>364</v>
      </c>
      <c r="T686" s="81" t="s">
        <v>1005</v>
      </c>
      <c r="U686" s="81" t="n">
        <v>441</v>
      </c>
      <c r="V686" s="81" t="s">
        <v>1005</v>
      </c>
      <c r="W686" s="81" t="n">
        <v>284</v>
      </c>
      <c r="X686" s="81" t="s">
        <v>1005</v>
      </c>
      <c r="Y686" s="81" t="n">
        <v>390</v>
      </c>
      <c r="Z686" s="81" t="s">
        <v>1005</v>
      </c>
      <c r="AA686" s="81" t="n">
        <v>276</v>
      </c>
      <c r="AB686" s="81" t="s">
        <v>1005</v>
      </c>
      <c r="AC686" s="81" t="n">
        <v>572</v>
      </c>
      <c r="AD686" s="81" t="s">
        <v>1005</v>
      </c>
      <c r="AE686" s="90" t="n">
        <v>572</v>
      </c>
      <c r="AF686" s="81" t="s">
        <v>1005</v>
      </c>
      <c r="AG686" s="81" t="n">
        <f aca="false">388+230</f>
        <v>618</v>
      </c>
      <c r="AH686" s="81" t="s">
        <v>1005</v>
      </c>
      <c r="AI686" s="81" t="n">
        <v>298</v>
      </c>
      <c r="AJ686" s="81" t="s">
        <v>1005</v>
      </c>
      <c r="AK686" s="81" t="n">
        <f aca="false">542+298</f>
        <v>840</v>
      </c>
      <c r="AL686" s="81" t="s">
        <v>1005</v>
      </c>
      <c r="AM686" s="81" t="n">
        <f aca="false">O686+Q686+S686+U686+W686+Y686+AA686+AC686+AE686+AG686+AI686+AK686</f>
        <v>5718</v>
      </c>
    </row>
    <row collapsed="false" customFormat="false" customHeight="true" hidden="false" ht="16.2" outlineLevel="0" r="687">
      <c r="A687" s="80" t="n">
        <v>357</v>
      </c>
      <c r="B687" s="81" t="s">
        <v>526</v>
      </c>
      <c r="C687" s="82" t="s">
        <v>1033</v>
      </c>
      <c r="D687" s="82" t="s">
        <v>1034</v>
      </c>
      <c r="E687" s="83" t="s">
        <v>1035</v>
      </c>
      <c r="F687" s="84" t="s">
        <v>1036</v>
      </c>
      <c r="G687" s="85"/>
      <c r="H687" s="85"/>
      <c r="I687" s="85"/>
      <c r="J687" s="85"/>
      <c r="K687" s="86" t="s">
        <v>53</v>
      </c>
      <c r="L687" s="86" t="s">
        <v>53</v>
      </c>
      <c r="M687" s="90"/>
      <c r="N687" s="90"/>
      <c r="O687" s="90"/>
      <c r="P687" s="90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  <c r="AC687" s="81"/>
      <c r="AD687" s="81"/>
      <c r="AE687" s="90"/>
      <c r="AF687" s="81"/>
      <c r="AG687" s="81"/>
      <c r="AH687" s="81"/>
      <c r="AI687" s="81"/>
      <c r="AJ687" s="81"/>
      <c r="AK687" s="81"/>
      <c r="AL687" s="81"/>
      <c r="AM687" s="81" t="n">
        <f aca="false">O687+Q687+S687+U687+W687+Y687+AA687+AC687+AE687+AG687+AI687+AK687</f>
        <v>0</v>
      </c>
    </row>
    <row collapsed="false" customFormat="false" customHeight="true" hidden="false" ht="16.2" outlineLevel="0" r="688">
      <c r="A688" s="80"/>
      <c r="B688" s="89"/>
      <c r="C688" s="85"/>
      <c r="D688" s="85"/>
      <c r="E688" s="83" t="s">
        <v>1037</v>
      </c>
      <c r="F688" s="84" t="s">
        <v>1036</v>
      </c>
      <c r="G688" s="85"/>
      <c r="H688" s="85"/>
      <c r="I688" s="85"/>
      <c r="J688" s="85"/>
      <c r="K688" s="86"/>
      <c r="L688" s="86"/>
      <c r="M688" s="90" t="n">
        <f aca="false">1463+1802+1527+1861+49+93</f>
        <v>6795</v>
      </c>
      <c r="N688" s="91" t="n">
        <f aca="false">1579+1307+1374+1141</f>
        <v>5401</v>
      </c>
      <c r="O688" s="90" t="n">
        <v>998</v>
      </c>
      <c r="P688" s="90" t="s">
        <v>1061</v>
      </c>
      <c r="Q688" s="81" t="n">
        <v>1020</v>
      </c>
      <c r="R688" s="81" t="s">
        <v>1061</v>
      </c>
      <c r="S688" s="81" t="n">
        <v>782</v>
      </c>
      <c r="T688" s="81" t="s">
        <v>1061</v>
      </c>
      <c r="U688" s="81" t="n">
        <v>782</v>
      </c>
      <c r="V688" s="81" t="s">
        <v>1061</v>
      </c>
      <c r="W688" s="81" t="n">
        <v>581</v>
      </c>
      <c r="X688" s="81" t="s">
        <v>1005</v>
      </c>
      <c r="Y688" s="81" t="n">
        <v>320</v>
      </c>
      <c r="Z688" s="81" t="s">
        <v>1005</v>
      </c>
      <c r="AA688" s="81" t="n">
        <v>284</v>
      </c>
      <c r="AB688" s="81" t="s">
        <v>1005</v>
      </c>
      <c r="AC688" s="81" t="n">
        <v>637</v>
      </c>
      <c r="AD688" s="81" t="s">
        <v>1005</v>
      </c>
      <c r="AE688" s="90" t="n">
        <v>637</v>
      </c>
      <c r="AF688" s="81" t="s">
        <v>1005</v>
      </c>
      <c r="AG688" s="81" t="n">
        <f aca="false">186+220+244+26</f>
        <v>676</v>
      </c>
      <c r="AH688" s="81" t="s">
        <v>1005</v>
      </c>
      <c r="AI688" s="81" t="n">
        <f aca="false">275+258+296+248</f>
        <v>1077</v>
      </c>
      <c r="AJ688" s="81" t="s">
        <v>1005</v>
      </c>
      <c r="AK688" s="81" t="n">
        <f aca="false">274+213+401+242</f>
        <v>1130</v>
      </c>
      <c r="AL688" s="81" t="s">
        <v>1005</v>
      </c>
      <c r="AM688" s="81" t="n">
        <f aca="false">O688+Q688+S688+U688+W688+Y688+AA688+AC688+AE688+AG688+AI688+AK688</f>
        <v>8924</v>
      </c>
    </row>
    <row collapsed="false" customFormat="false" customHeight="true" hidden="false" ht="16.2" outlineLevel="0" r="689">
      <c r="A689" s="80" t="n">
        <v>358</v>
      </c>
      <c r="B689" s="81" t="s">
        <v>527</v>
      </c>
      <c r="C689" s="82" t="s">
        <v>1033</v>
      </c>
      <c r="D689" s="82" t="s">
        <v>1034</v>
      </c>
      <c r="E689" s="83" t="s">
        <v>1035</v>
      </c>
      <c r="F689" s="84" t="s">
        <v>1036</v>
      </c>
      <c r="G689" s="85"/>
      <c r="H689" s="85"/>
      <c r="I689" s="85"/>
      <c r="J689" s="85"/>
      <c r="K689" s="86" t="s">
        <v>53</v>
      </c>
      <c r="L689" s="86" t="s">
        <v>53</v>
      </c>
      <c r="M689" s="90"/>
      <c r="N689" s="90"/>
      <c r="O689" s="90"/>
      <c r="P689" s="90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  <c r="AC689" s="81"/>
      <c r="AD689" s="81"/>
      <c r="AE689" s="90"/>
      <c r="AF689" s="81"/>
      <c r="AG689" s="81"/>
      <c r="AH689" s="81"/>
      <c r="AI689" s="81"/>
      <c r="AJ689" s="81"/>
      <c r="AK689" s="81"/>
      <c r="AL689" s="81"/>
      <c r="AM689" s="81" t="n">
        <f aca="false">O689+Q689+S689+U689+W689+Y689+AA689+AC689+AE689+AG689+AI689+AK689</f>
        <v>0</v>
      </c>
    </row>
    <row collapsed="false" customFormat="false" customHeight="true" hidden="false" ht="16.2" outlineLevel="0" r="690">
      <c r="A690" s="80"/>
      <c r="B690" s="89"/>
      <c r="C690" s="85"/>
      <c r="D690" s="85"/>
      <c r="E690" s="83" t="s">
        <v>1037</v>
      </c>
      <c r="F690" s="84" t="s">
        <v>1036</v>
      </c>
      <c r="G690" s="85"/>
      <c r="H690" s="85"/>
      <c r="I690" s="85"/>
      <c r="J690" s="85"/>
      <c r="K690" s="86"/>
      <c r="L690" s="86"/>
      <c r="M690" s="90" t="n">
        <f aca="false">1081+990+1160+1018+52+48+12+35</f>
        <v>4396</v>
      </c>
      <c r="N690" s="91" t="n">
        <f aca="false">1392+1441+1505+1783</f>
        <v>6121</v>
      </c>
      <c r="O690" s="90" t="n">
        <v>689</v>
      </c>
      <c r="P690" s="90" t="s">
        <v>1005</v>
      </c>
      <c r="Q690" s="81" t="n">
        <v>641</v>
      </c>
      <c r="R690" s="81"/>
      <c r="S690" s="81" t="n">
        <v>570</v>
      </c>
      <c r="T690" s="81" t="s">
        <v>1005</v>
      </c>
      <c r="U690" s="81" t="n">
        <v>521</v>
      </c>
      <c r="V690" s="81" t="s">
        <v>1005</v>
      </c>
      <c r="W690" s="81" t="n">
        <v>328</v>
      </c>
      <c r="X690" s="81" t="s">
        <v>1005</v>
      </c>
      <c r="Y690" s="81" t="n">
        <v>261</v>
      </c>
      <c r="Z690" s="81" t="s">
        <v>1005</v>
      </c>
      <c r="AA690" s="81" t="n">
        <v>209</v>
      </c>
      <c r="AB690" s="81" t="s">
        <v>1005</v>
      </c>
      <c r="AC690" s="81" t="n">
        <v>450</v>
      </c>
      <c r="AD690" s="81" t="s">
        <v>1005</v>
      </c>
      <c r="AE690" s="90" t="n">
        <v>450</v>
      </c>
      <c r="AF690" s="81" t="s">
        <v>1005</v>
      </c>
      <c r="AG690" s="81" t="n">
        <f aca="false">116+137+144+1524</f>
        <v>1921</v>
      </c>
      <c r="AH690" s="81" t="s">
        <v>1005</v>
      </c>
      <c r="AI690" s="81" t="n">
        <f aca="false">257+221+269+219</f>
        <v>966</v>
      </c>
      <c r="AJ690" s="81" t="s">
        <v>1005</v>
      </c>
      <c r="AK690" s="81" t="n">
        <f aca="false">283+206+297+222</f>
        <v>1008</v>
      </c>
      <c r="AL690" s="81" t="s">
        <v>1005</v>
      </c>
      <c r="AM690" s="81" t="n">
        <f aca="false">O690+Q690+S690+U690+W690+Y690+AA690+AC690+AE690+AG690+AI690+AK690</f>
        <v>8014</v>
      </c>
    </row>
    <row collapsed="false" customFormat="false" customHeight="true" hidden="false" ht="16.2" outlineLevel="0" r="691">
      <c r="A691" s="80" t="n">
        <v>359</v>
      </c>
      <c r="B691" s="81" t="s">
        <v>528</v>
      </c>
      <c r="C691" s="82" t="s">
        <v>1033</v>
      </c>
      <c r="D691" s="82" t="s">
        <v>1034</v>
      </c>
      <c r="E691" s="83" t="s">
        <v>1035</v>
      </c>
      <c r="F691" s="84" t="s">
        <v>1036</v>
      </c>
      <c r="G691" s="85"/>
      <c r="H691" s="85"/>
      <c r="I691" s="85"/>
      <c r="J691" s="85"/>
      <c r="K691" s="86" t="s">
        <v>53</v>
      </c>
      <c r="L691" s="86" t="s">
        <v>53</v>
      </c>
      <c r="M691" s="90"/>
      <c r="N691" s="90"/>
      <c r="O691" s="90"/>
      <c r="P691" s="90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  <c r="AC691" s="81"/>
      <c r="AD691" s="81"/>
      <c r="AE691" s="90"/>
      <c r="AF691" s="81"/>
      <c r="AG691" s="81"/>
      <c r="AH691" s="81"/>
      <c r="AI691" s="81"/>
      <c r="AJ691" s="81"/>
      <c r="AK691" s="81"/>
      <c r="AL691" s="81"/>
      <c r="AM691" s="81" t="n">
        <f aca="false">O691+Q691+S691+U691+W691+Y691+AA691+AC691+AE691+AG691+AI691+AK691</f>
        <v>0</v>
      </c>
    </row>
    <row collapsed="false" customFormat="false" customHeight="true" hidden="false" ht="16.2" outlineLevel="0" r="692">
      <c r="A692" s="80"/>
      <c r="B692" s="89"/>
      <c r="C692" s="85"/>
      <c r="D692" s="85"/>
      <c r="E692" s="83" t="s">
        <v>1037</v>
      </c>
      <c r="F692" s="84" t="s">
        <v>1036</v>
      </c>
      <c r="G692" s="85"/>
      <c r="H692" s="85"/>
      <c r="I692" s="85"/>
      <c r="J692" s="85"/>
      <c r="K692" s="86"/>
      <c r="L692" s="86"/>
      <c r="M692" s="90" t="n">
        <f aca="false">2822+1666+2156+1666</f>
        <v>8310</v>
      </c>
      <c r="N692" s="91" t="n">
        <f aca="false">3090+2137+2394+2226</f>
        <v>9847</v>
      </c>
      <c r="O692" s="90" t="n">
        <v>904</v>
      </c>
      <c r="P692" s="90" t="s">
        <v>1005</v>
      </c>
      <c r="Q692" s="81" t="n">
        <v>998</v>
      </c>
      <c r="R692" s="81"/>
      <c r="S692" s="81" t="n">
        <v>842</v>
      </c>
      <c r="T692" s="81" t="s">
        <v>1005</v>
      </c>
      <c r="U692" s="81" t="n">
        <v>799</v>
      </c>
      <c r="V692" s="81" t="s">
        <v>1005</v>
      </c>
      <c r="W692" s="81" t="n">
        <v>638</v>
      </c>
      <c r="X692" s="81" t="s">
        <v>1005</v>
      </c>
      <c r="Y692" s="81" t="n">
        <v>654</v>
      </c>
      <c r="Z692" s="81" t="s">
        <v>1005</v>
      </c>
      <c r="AA692" s="81" t="n">
        <v>493</v>
      </c>
      <c r="AB692" s="81" t="s">
        <v>1005</v>
      </c>
      <c r="AC692" s="81" t="n">
        <v>496</v>
      </c>
      <c r="AD692" s="81" t="s">
        <v>1005</v>
      </c>
      <c r="AE692" s="90" t="n">
        <v>496</v>
      </c>
      <c r="AF692" s="81" t="s">
        <v>1005</v>
      </c>
      <c r="AG692" s="81" t="n">
        <f aca="false">227+128+192+144</f>
        <v>691</v>
      </c>
      <c r="AH692" s="81" t="s">
        <v>1005</v>
      </c>
      <c r="AI692" s="81" t="n">
        <f aca="false">350+203+301+197</f>
        <v>1051</v>
      </c>
      <c r="AJ692" s="81" t="s">
        <v>1005</v>
      </c>
      <c r="AK692" s="81" t="n">
        <f aca="false">336+186+184+170</f>
        <v>876</v>
      </c>
      <c r="AL692" s="81" t="s">
        <v>1005</v>
      </c>
      <c r="AM692" s="81" t="n">
        <f aca="false">O692+Q692+S692+U692+W692+Y692+AA692+AC692+AE692+AG692+AI692+AK692</f>
        <v>8938</v>
      </c>
    </row>
    <row collapsed="false" customFormat="false" customHeight="true" hidden="false" ht="16.2" outlineLevel="0" r="693">
      <c r="A693" s="80" t="n">
        <v>360</v>
      </c>
      <c r="B693" s="81" t="s">
        <v>530</v>
      </c>
      <c r="C693" s="82" t="s">
        <v>1033</v>
      </c>
      <c r="D693" s="82" t="s">
        <v>1034</v>
      </c>
      <c r="E693" s="83" t="s">
        <v>1035</v>
      </c>
      <c r="F693" s="84" t="s">
        <v>1036</v>
      </c>
      <c r="G693" s="85"/>
      <c r="H693" s="85"/>
      <c r="I693" s="85"/>
      <c r="J693" s="85"/>
      <c r="K693" s="86" t="s">
        <v>53</v>
      </c>
      <c r="L693" s="86" t="s">
        <v>53</v>
      </c>
      <c r="M693" s="90"/>
      <c r="N693" s="90"/>
      <c r="O693" s="90"/>
      <c r="P693" s="90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  <c r="AC693" s="81"/>
      <c r="AD693" s="81"/>
      <c r="AE693" s="90"/>
      <c r="AF693" s="81"/>
      <c r="AG693" s="81"/>
      <c r="AH693" s="81"/>
      <c r="AI693" s="81"/>
      <c r="AJ693" s="81"/>
      <c r="AK693" s="81"/>
      <c r="AL693" s="81"/>
      <c r="AM693" s="81" t="n">
        <f aca="false">O693+Q693+S693+U693+W693+Y693+AA693+AC693+AE693+AG693+AI693+AK693</f>
        <v>0</v>
      </c>
    </row>
    <row collapsed="false" customFormat="false" customHeight="true" hidden="false" ht="16.2" outlineLevel="0" r="694">
      <c r="A694" s="80"/>
      <c r="B694" s="89"/>
      <c r="C694" s="85"/>
      <c r="D694" s="85"/>
      <c r="E694" s="83" t="s">
        <v>1037</v>
      </c>
      <c r="F694" s="84" t="s">
        <v>1036</v>
      </c>
      <c r="G694" s="85"/>
      <c r="H694" s="85"/>
      <c r="I694" s="85"/>
      <c r="J694" s="85"/>
      <c r="K694" s="86"/>
      <c r="L694" s="86"/>
      <c r="M694" s="90" t="n">
        <f aca="false">4660+4341</f>
        <v>9001</v>
      </c>
      <c r="N694" s="91" t="n">
        <f aca="false">4160+3816</f>
        <v>7976</v>
      </c>
      <c r="O694" s="90" t="n">
        <v>1027</v>
      </c>
      <c r="P694" s="90" t="s">
        <v>1005</v>
      </c>
      <c r="Q694" s="81" t="n">
        <v>869</v>
      </c>
      <c r="R694" s="81"/>
      <c r="S694" s="81" t="n">
        <v>717</v>
      </c>
      <c r="T694" s="81" t="s">
        <v>1005</v>
      </c>
      <c r="U694" s="81" t="n">
        <v>595</v>
      </c>
      <c r="V694" s="81" t="s">
        <v>1005</v>
      </c>
      <c r="W694" s="81" t="n">
        <v>389</v>
      </c>
      <c r="X694" s="81" t="s">
        <v>1005</v>
      </c>
      <c r="Y694" s="81" t="n">
        <v>283</v>
      </c>
      <c r="Z694" s="81" t="s">
        <v>1005</v>
      </c>
      <c r="AA694" s="81" t="n">
        <v>224</v>
      </c>
      <c r="AB694" s="81" t="s">
        <v>1005</v>
      </c>
      <c r="AC694" s="81" t="n">
        <v>557</v>
      </c>
      <c r="AD694" s="81" t="s">
        <v>1005</v>
      </c>
      <c r="AE694" s="90" t="n">
        <v>557</v>
      </c>
      <c r="AF694" s="81" t="s">
        <v>1005</v>
      </c>
      <c r="AG694" s="81" t="n">
        <f aca="false">307+327</f>
        <v>634</v>
      </c>
      <c r="AH694" s="81" t="s">
        <v>1005</v>
      </c>
      <c r="AI694" s="81" t="n">
        <f aca="false">469+405</f>
        <v>874</v>
      </c>
      <c r="AJ694" s="81" t="s">
        <v>1005</v>
      </c>
      <c r="AK694" s="81" t="n">
        <f aca="false">597+430</f>
        <v>1027</v>
      </c>
      <c r="AL694" s="81" t="s">
        <v>1005</v>
      </c>
      <c r="AM694" s="81" t="n">
        <f aca="false">O694+Q694+S694+U694+W694+Y694+AA694+AC694+AE694+AG694+AI694+AK694</f>
        <v>7753</v>
      </c>
    </row>
    <row collapsed="false" customFormat="false" customHeight="true" hidden="false" ht="16.2" outlineLevel="0" r="695">
      <c r="A695" s="80" t="n">
        <v>361</v>
      </c>
      <c r="B695" s="81" t="s">
        <v>531</v>
      </c>
      <c r="C695" s="82" t="s">
        <v>1033</v>
      </c>
      <c r="D695" s="82" t="s">
        <v>1034</v>
      </c>
      <c r="E695" s="83" t="s">
        <v>1035</v>
      </c>
      <c r="F695" s="84" t="s">
        <v>1036</v>
      </c>
      <c r="G695" s="85"/>
      <c r="H695" s="85"/>
      <c r="I695" s="85"/>
      <c r="J695" s="85"/>
      <c r="K695" s="86" t="s">
        <v>53</v>
      </c>
      <c r="L695" s="86" t="s">
        <v>53</v>
      </c>
      <c r="M695" s="90"/>
      <c r="N695" s="90"/>
      <c r="O695" s="102"/>
      <c r="P695" s="90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  <c r="AC695" s="81"/>
      <c r="AD695" s="81"/>
      <c r="AE695" s="90"/>
      <c r="AF695" s="81"/>
      <c r="AG695" s="81"/>
      <c r="AH695" s="81"/>
      <c r="AI695" s="81"/>
      <c r="AJ695" s="81"/>
      <c r="AK695" s="81"/>
      <c r="AL695" s="81"/>
      <c r="AM695" s="81" t="n">
        <f aca="false">O695+Q695+S695+U695+W695+Y695+AA695+AC695+AE695+AG695+AI695+AK695</f>
        <v>0</v>
      </c>
    </row>
    <row collapsed="false" customFormat="false" customHeight="true" hidden="false" ht="16.2" outlineLevel="0" r="696">
      <c r="A696" s="80"/>
      <c r="B696" s="89"/>
      <c r="C696" s="85"/>
      <c r="D696" s="85"/>
      <c r="E696" s="83" t="s">
        <v>1037</v>
      </c>
      <c r="F696" s="84" t="s">
        <v>1036</v>
      </c>
      <c r="G696" s="85"/>
      <c r="H696" s="85"/>
      <c r="I696" s="85"/>
      <c r="J696" s="85"/>
      <c r="K696" s="86"/>
      <c r="L696" s="86"/>
      <c r="M696" s="90" t="n">
        <f aca="false">1920+1661+1752+24+45</f>
        <v>5402</v>
      </c>
      <c r="N696" s="91" t="n">
        <f aca="false">1458+1284+1239+1484</f>
        <v>5465</v>
      </c>
      <c r="O696" s="104"/>
      <c r="P696" s="90" t="s">
        <v>1005</v>
      </c>
      <c r="Q696" s="81" t="n">
        <v>823</v>
      </c>
      <c r="R696" s="81"/>
      <c r="S696" s="81" t="n">
        <v>648</v>
      </c>
      <c r="T696" s="81" t="s">
        <v>1061</v>
      </c>
      <c r="U696" s="81" t="n">
        <v>648</v>
      </c>
      <c r="V696" s="81" t="s">
        <v>1061</v>
      </c>
      <c r="W696" s="81" t="n">
        <v>417</v>
      </c>
      <c r="X696" s="81" t="s">
        <v>1005</v>
      </c>
      <c r="Y696" s="81" t="n">
        <v>210</v>
      </c>
      <c r="Z696" s="81" t="s">
        <v>1005</v>
      </c>
      <c r="AA696" s="81" t="n">
        <v>230</v>
      </c>
      <c r="AB696" s="81" t="s">
        <v>1005</v>
      </c>
      <c r="AC696" s="81" t="n">
        <v>529</v>
      </c>
      <c r="AD696" s="81" t="s">
        <v>1005</v>
      </c>
      <c r="AE696" s="90" t="n">
        <v>529</v>
      </c>
      <c r="AF696" s="81" t="s">
        <v>1005</v>
      </c>
      <c r="AG696" s="81" t="n">
        <f aca="false">113+118+114+102</f>
        <v>447</v>
      </c>
      <c r="AH696" s="81" t="s">
        <v>1005</v>
      </c>
      <c r="AI696" s="81" t="n">
        <f aca="false">235+193+190+150</f>
        <v>768</v>
      </c>
      <c r="AJ696" s="81" t="s">
        <v>1005</v>
      </c>
      <c r="AK696" s="81" t="n">
        <f aca="false">229+158+280+191</f>
        <v>858</v>
      </c>
      <c r="AL696" s="81" t="s">
        <v>1005</v>
      </c>
      <c r="AM696" s="81" t="n">
        <f aca="false">O696+Q696+S696+U696+W696+Y696+AA696+AC696+AE696+AG696+AI696+AK696</f>
        <v>6107</v>
      </c>
    </row>
    <row collapsed="false" customFormat="false" customHeight="true" hidden="false" ht="16.2" outlineLevel="0" r="697">
      <c r="A697" s="80" t="n">
        <v>362</v>
      </c>
      <c r="B697" s="81" t="s">
        <v>532</v>
      </c>
      <c r="C697" s="82" t="s">
        <v>1033</v>
      </c>
      <c r="D697" s="82" t="s">
        <v>1034</v>
      </c>
      <c r="E697" s="83" t="s">
        <v>1035</v>
      </c>
      <c r="F697" s="84" t="s">
        <v>1036</v>
      </c>
      <c r="G697" s="85"/>
      <c r="H697" s="85"/>
      <c r="I697" s="85"/>
      <c r="J697" s="85"/>
      <c r="K697" s="86" t="s">
        <v>53</v>
      </c>
      <c r="L697" s="86" t="s">
        <v>53</v>
      </c>
      <c r="M697" s="90"/>
      <c r="N697" s="90"/>
      <c r="O697" s="90"/>
      <c r="P697" s="90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  <c r="AC697" s="81"/>
      <c r="AD697" s="81"/>
      <c r="AE697" s="90"/>
      <c r="AF697" s="81"/>
      <c r="AG697" s="81"/>
      <c r="AH697" s="81"/>
      <c r="AI697" s="81"/>
      <c r="AJ697" s="81"/>
      <c r="AK697" s="81"/>
      <c r="AL697" s="81"/>
      <c r="AM697" s="81" t="n">
        <f aca="false">O697+Q697+S697+U697+W697+Y697+AA697+AC697+AE697+AG697+AI697+AK697</f>
        <v>0</v>
      </c>
    </row>
    <row collapsed="false" customFormat="false" customHeight="true" hidden="false" ht="16.2" outlineLevel="0" r="698">
      <c r="A698" s="80"/>
      <c r="B698" s="89"/>
      <c r="C698" s="85"/>
      <c r="D698" s="85"/>
      <c r="E698" s="83" t="s">
        <v>1037</v>
      </c>
      <c r="F698" s="84" t="s">
        <v>1036</v>
      </c>
      <c r="G698" s="85"/>
      <c r="H698" s="85"/>
      <c r="I698" s="85"/>
      <c r="J698" s="85"/>
      <c r="K698" s="86"/>
      <c r="L698" s="86"/>
      <c r="M698" s="90" t="n">
        <f aca="false">3908+5146</f>
        <v>9054</v>
      </c>
      <c r="N698" s="91" t="n">
        <f aca="false">4285+4488</f>
        <v>8773</v>
      </c>
      <c r="O698" s="90" t="n">
        <v>1183</v>
      </c>
      <c r="P698" s="90" t="s">
        <v>1005</v>
      </c>
      <c r="Q698" s="81" t="n">
        <v>913</v>
      </c>
      <c r="R698" s="81"/>
      <c r="S698" s="81" t="n">
        <v>802</v>
      </c>
      <c r="T698" s="81" t="s">
        <v>1005</v>
      </c>
      <c r="U698" s="81" t="n">
        <v>751</v>
      </c>
      <c r="V698" s="81" t="s">
        <v>1005</v>
      </c>
      <c r="W698" s="81" t="n">
        <v>5936</v>
      </c>
      <c r="X698" s="81" t="s">
        <v>1005</v>
      </c>
      <c r="Y698" s="81" t="n">
        <v>441</v>
      </c>
      <c r="Z698" s="81" t="s">
        <v>1005</v>
      </c>
      <c r="AA698" s="81" t="n">
        <v>540</v>
      </c>
      <c r="AB698" s="81" t="s">
        <v>1005</v>
      </c>
      <c r="AC698" s="81" t="n">
        <v>576</v>
      </c>
      <c r="AD698" s="81" t="s">
        <v>1005</v>
      </c>
      <c r="AE698" s="90" t="n">
        <v>576</v>
      </c>
      <c r="AF698" s="81" t="s">
        <v>1005</v>
      </c>
      <c r="AG698" s="81" t="n">
        <f aca="false">335+502</f>
        <v>837</v>
      </c>
      <c r="AH698" s="81" t="s">
        <v>1005</v>
      </c>
      <c r="AI698" s="81" t="n">
        <f aca="false">596+596</f>
        <v>1192</v>
      </c>
      <c r="AJ698" s="81" t="s">
        <v>1005</v>
      </c>
      <c r="AK698" s="81" t="n">
        <f aca="false">605+501</f>
        <v>1106</v>
      </c>
      <c r="AL698" s="81" t="s">
        <v>1005</v>
      </c>
      <c r="AM698" s="81" t="n">
        <f aca="false">O698+Q698+S698+U698+W698+Y698+AA698+AC698+AE698+AG698+AI698+AK698</f>
        <v>14853</v>
      </c>
    </row>
    <row collapsed="false" customFormat="false" customHeight="true" hidden="false" ht="16.2" outlineLevel="0" r="699">
      <c r="A699" s="80" t="n">
        <v>363</v>
      </c>
      <c r="B699" s="81" t="s">
        <v>533</v>
      </c>
      <c r="C699" s="82" t="s">
        <v>1033</v>
      </c>
      <c r="D699" s="82" t="s">
        <v>1034</v>
      </c>
      <c r="E699" s="83" t="s">
        <v>1035</v>
      </c>
      <c r="F699" s="84" t="s">
        <v>1036</v>
      </c>
      <c r="G699" s="85"/>
      <c r="H699" s="85"/>
      <c r="I699" s="85"/>
      <c r="J699" s="85"/>
      <c r="K699" s="86" t="s">
        <v>53</v>
      </c>
      <c r="L699" s="86" t="s">
        <v>53</v>
      </c>
      <c r="M699" s="90" t="n">
        <f aca="false">18410+4670</f>
        <v>23080</v>
      </c>
      <c r="N699" s="90" t="n">
        <f aca="false">10980+3031</f>
        <v>14011</v>
      </c>
      <c r="O699" s="90"/>
      <c r="P699" s="90"/>
      <c r="Q699" s="81"/>
      <c r="R699" s="81"/>
      <c r="S699" s="81"/>
      <c r="T699" s="81"/>
      <c r="U699" s="81"/>
      <c r="V699" s="81"/>
      <c r="W699" s="81"/>
      <c r="X699" s="81"/>
      <c r="Y699" s="81" t="n">
        <v>975</v>
      </c>
      <c r="Z699" s="81"/>
      <c r="AA699" s="81" t="n">
        <v>1410</v>
      </c>
      <c r="AB699" s="81"/>
      <c r="AC699" s="81" t="n">
        <v>1905</v>
      </c>
      <c r="AD699" s="81"/>
      <c r="AE699" s="90" t="n">
        <v>1905</v>
      </c>
      <c r="AF699" s="81"/>
      <c r="AG699" s="81" t="n">
        <f aca="false">1170+255</f>
        <v>1425</v>
      </c>
      <c r="AH699" s="81"/>
      <c r="AI699" s="81" t="n">
        <f aca="false">1605+330</f>
        <v>1935</v>
      </c>
      <c r="AJ699" s="81"/>
      <c r="AK699" s="81" t="n">
        <f aca="false">1260+270</f>
        <v>1530</v>
      </c>
      <c r="AL699" s="81"/>
      <c r="AM699" s="81" t="n">
        <f aca="false">O699+Q699+S699+U699+W699+Y699+AA699+AC699+AE699+AG699+AI699+AK699</f>
        <v>11085</v>
      </c>
    </row>
    <row collapsed="false" customFormat="false" customHeight="true" hidden="false" ht="16.2" outlineLevel="0" r="700">
      <c r="A700" s="80"/>
      <c r="B700" s="89"/>
      <c r="C700" s="85"/>
      <c r="D700" s="85"/>
      <c r="E700" s="83" t="s">
        <v>1037</v>
      </c>
      <c r="F700" s="84" t="s">
        <v>1036</v>
      </c>
      <c r="G700" s="85"/>
      <c r="H700" s="85"/>
      <c r="I700" s="85"/>
      <c r="J700" s="85"/>
      <c r="K700" s="86"/>
      <c r="L700" s="86"/>
      <c r="M700" s="90" t="n">
        <f aca="false">3406+6917</f>
        <v>10323</v>
      </c>
      <c r="N700" s="91" t="n">
        <f aca="false">3816+7990</f>
        <v>11806</v>
      </c>
      <c r="O700" s="90" t="n">
        <v>3858</v>
      </c>
      <c r="P700" s="90" t="s">
        <v>1061</v>
      </c>
      <c r="Q700" s="81" t="n">
        <v>5070</v>
      </c>
      <c r="R700" s="81" t="s">
        <v>1061</v>
      </c>
      <c r="S700" s="81" t="n">
        <v>2692</v>
      </c>
      <c r="T700" s="81" t="s">
        <v>1061</v>
      </c>
      <c r="U700" s="81" t="n">
        <v>2692</v>
      </c>
      <c r="V700" s="81" t="s">
        <v>1005</v>
      </c>
      <c r="W700" s="81" t="n">
        <v>4544</v>
      </c>
      <c r="X700" s="81" t="s">
        <v>1005</v>
      </c>
      <c r="Y700" s="81" t="n">
        <v>846</v>
      </c>
      <c r="Z700" s="81" t="s">
        <v>1005</v>
      </c>
      <c r="AA700" s="81" t="n">
        <v>1173</v>
      </c>
      <c r="AB700" s="81" t="s">
        <v>1005</v>
      </c>
      <c r="AC700" s="81" t="n">
        <v>2091</v>
      </c>
      <c r="AD700" s="81" t="s">
        <v>1005</v>
      </c>
      <c r="AE700" s="90" t="n">
        <v>2091</v>
      </c>
      <c r="AF700" s="81" t="s">
        <v>1005</v>
      </c>
      <c r="AG700" s="81" t="n">
        <f aca="false">961+870</f>
        <v>1831</v>
      </c>
      <c r="AH700" s="81" t="s">
        <v>1005</v>
      </c>
      <c r="AI700" s="81" t="n">
        <f aca="false">1706+1288</f>
        <v>2994</v>
      </c>
      <c r="AJ700" s="81" t="s">
        <v>1005</v>
      </c>
      <c r="AK700" s="81" t="n">
        <f aca="false">1704+1013</f>
        <v>2717</v>
      </c>
      <c r="AL700" s="81" t="s">
        <v>1005</v>
      </c>
      <c r="AM700" s="81" t="n">
        <f aca="false">O700+Q700+S700+U700+W700+Y700+AA700+AC700+AE700+AG700+AI700+AK700</f>
        <v>32599</v>
      </c>
    </row>
    <row collapsed="false" customFormat="false" customHeight="true" hidden="false" ht="16.2" outlineLevel="0" r="701">
      <c r="A701" s="80" t="n">
        <v>364</v>
      </c>
      <c r="B701" s="81" t="s">
        <v>534</v>
      </c>
      <c r="C701" s="82" t="s">
        <v>1033</v>
      </c>
      <c r="D701" s="82" t="s">
        <v>1034</v>
      </c>
      <c r="E701" s="83" t="s">
        <v>1035</v>
      </c>
      <c r="F701" s="84" t="s">
        <v>1036</v>
      </c>
      <c r="G701" s="85"/>
      <c r="H701" s="85"/>
      <c r="I701" s="85"/>
      <c r="J701" s="85"/>
      <c r="K701" s="86" t="s">
        <v>53</v>
      </c>
      <c r="L701" s="86" t="s">
        <v>53</v>
      </c>
      <c r="M701" s="90" t="n">
        <f aca="false">22940+5490</f>
        <v>28430</v>
      </c>
      <c r="N701" s="90" t="n">
        <f aca="false">21670+6188</f>
        <v>27858</v>
      </c>
      <c r="O701" s="90" t="n">
        <v>2650</v>
      </c>
      <c r="P701" s="90"/>
      <c r="Q701" s="81" t="n">
        <v>2200</v>
      </c>
      <c r="R701" s="81"/>
      <c r="S701" s="81" t="n">
        <v>2280</v>
      </c>
      <c r="T701" s="81"/>
      <c r="U701" s="81" t="n">
        <v>2410</v>
      </c>
      <c r="V701" s="81"/>
      <c r="W701" s="81" t="n">
        <v>2790</v>
      </c>
      <c r="X701" s="81"/>
      <c r="Y701" s="81" t="n">
        <v>2830</v>
      </c>
      <c r="Z701" s="81"/>
      <c r="AA701" s="81" t="n">
        <v>2330</v>
      </c>
      <c r="AB701" s="81"/>
      <c r="AC701" s="81" t="n">
        <v>2280</v>
      </c>
      <c r="AD701" s="81"/>
      <c r="AE701" s="90" t="n">
        <v>2280</v>
      </c>
      <c r="AF701" s="81"/>
      <c r="AG701" s="81" t="n">
        <f aca="false">2000+470</f>
        <v>2470</v>
      </c>
      <c r="AH701" s="81"/>
      <c r="AI701" s="81" t="n">
        <f aca="false">2120+550</f>
        <v>2670</v>
      </c>
      <c r="AJ701" s="81"/>
      <c r="AK701" s="81" t="n">
        <f aca="false">1670+460</f>
        <v>2130</v>
      </c>
      <c r="AL701" s="81"/>
      <c r="AM701" s="81" t="n">
        <f aca="false">O701+Q701+S701+U701+W701+Y701+AA701+AC701+AE701+AG701+AI701+AK701</f>
        <v>29320</v>
      </c>
    </row>
    <row collapsed="false" customFormat="false" customHeight="true" hidden="false" ht="16.2" outlineLevel="0" r="702">
      <c r="A702" s="80"/>
      <c r="B702" s="89"/>
      <c r="C702" s="85"/>
      <c r="D702" s="85"/>
      <c r="E702" s="83" t="s">
        <v>1037</v>
      </c>
      <c r="F702" s="84" t="s">
        <v>1036</v>
      </c>
      <c r="G702" s="85"/>
      <c r="H702" s="85"/>
      <c r="I702" s="85"/>
      <c r="J702" s="85"/>
      <c r="K702" s="86"/>
      <c r="L702" s="86"/>
      <c r="M702" s="90" t="n">
        <f aca="false">5086+9222</f>
        <v>14308</v>
      </c>
      <c r="N702" s="91" t="n">
        <f aca="false">8632+18331</f>
        <v>26963</v>
      </c>
      <c r="O702" s="90" t="n">
        <v>3544</v>
      </c>
      <c r="P702" s="90" t="s">
        <v>1005</v>
      </c>
      <c r="Q702" s="81" t="n">
        <v>2742</v>
      </c>
      <c r="R702" s="81"/>
      <c r="S702" s="81" t="n">
        <v>2378</v>
      </c>
      <c r="T702" s="81" t="s">
        <v>1005</v>
      </c>
      <c r="U702" s="81" t="n">
        <v>2090</v>
      </c>
      <c r="V702" s="81" t="s">
        <v>1005</v>
      </c>
      <c r="W702" s="81" t="n">
        <v>1889</v>
      </c>
      <c r="X702" s="81" t="s">
        <v>1005</v>
      </c>
      <c r="Y702" s="81" t="n">
        <v>1307</v>
      </c>
      <c r="Z702" s="81" t="s">
        <v>1005</v>
      </c>
      <c r="AA702" s="81" t="n">
        <v>1044</v>
      </c>
      <c r="AB702" s="81" t="s">
        <v>1005</v>
      </c>
      <c r="AC702" s="81" t="n">
        <v>1594</v>
      </c>
      <c r="AD702" s="81" t="s">
        <v>1005</v>
      </c>
      <c r="AE702" s="90" t="n">
        <v>1594</v>
      </c>
      <c r="AF702" s="81" t="s">
        <v>1005</v>
      </c>
      <c r="AG702" s="81" t="n">
        <f aca="false">999+1473</f>
        <v>2472</v>
      </c>
      <c r="AH702" s="81" t="s">
        <v>1005</v>
      </c>
      <c r="AI702" s="81" t="n">
        <f aca="false">1591+1638</f>
        <v>3229</v>
      </c>
      <c r="AJ702" s="81" t="s">
        <v>1005</v>
      </c>
      <c r="AK702" s="81" t="n">
        <f aca="false">1553+1321</f>
        <v>2874</v>
      </c>
      <c r="AL702" s="81" t="s">
        <v>1005</v>
      </c>
      <c r="AM702" s="81" t="n">
        <f aca="false">O702+Q702+S702+U702+W702+Y702+AA702+AC702+AE702+AG702+AI702+AK702</f>
        <v>26757</v>
      </c>
    </row>
    <row collapsed="false" customFormat="false" customHeight="true" hidden="false" ht="16.2" outlineLevel="0" r="703">
      <c r="A703" s="80" t="n">
        <v>365</v>
      </c>
      <c r="B703" s="81" t="s">
        <v>535</v>
      </c>
      <c r="C703" s="82" t="s">
        <v>1033</v>
      </c>
      <c r="D703" s="82" t="s">
        <v>1034</v>
      </c>
      <c r="E703" s="83" t="s">
        <v>1035</v>
      </c>
      <c r="F703" s="84" t="s">
        <v>1036</v>
      </c>
      <c r="G703" s="85"/>
      <c r="H703" s="85"/>
      <c r="I703" s="85"/>
      <c r="J703" s="85"/>
      <c r="K703" s="86" t="s">
        <v>53</v>
      </c>
      <c r="L703" s="86" t="s">
        <v>53</v>
      </c>
      <c r="M703" s="90" t="n">
        <f aca="false">29140+6359</f>
        <v>35499</v>
      </c>
      <c r="N703" s="90" t="n">
        <f aca="false">48560+12450</f>
        <v>61010</v>
      </c>
      <c r="O703" s="90" t="n">
        <v>5570</v>
      </c>
      <c r="P703" s="90"/>
      <c r="Q703" s="81" t="n">
        <v>1320</v>
      </c>
      <c r="R703" s="81"/>
      <c r="S703" s="81" t="n">
        <v>470</v>
      </c>
      <c r="T703" s="81"/>
      <c r="U703" s="81" t="n">
        <v>1330</v>
      </c>
      <c r="V703" s="81"/>
      <c r="W703" s="81" t="n">
        <v>440</v>
      </c>
      <c r="X703" s="81"/>
      <c r="Y703" s="81" t="n">
        <v>6120</v>
      </c>
      <c r="Z703" s="81"/>
      <c r="AA703" s="81" t="n">
        <v>6490</v>
      </c>
      <c r="AB703" s="81"/>
      <c r="AC703" s="81" t="n">
        <v>2680</v>
      </c>
      <c r="AD703" s="81"/>
      <c r="AE703" s="90" t="n">
        <v>2680</v>
      </c>
      <c r="AF703" s="81"/>
      <c r="AG703" s="81" t="n">
        <f aca="false">2990+670</f>
        <v>3660</v>
      </c>
      <c r="AH703" s="81"/>
      <c r="AI703" s="81" t="n">
        <f aca="false">1380+530</f>
        <v>1910</v>
      </c>
      <c r="AJ703" s="81"/>
      <c r="AK703" s="81" t="n">
        <f aca="false">3060+510</f>
        <v>3570</v>
      </c>
      <c r="AL703" s="81"/>
      <c r="AM703" s="81" t="n">
        <f aca="false">O703+Q703+S703+U703+W703+Y703+AA703+AC703+AE703+AG703+AI703+AK703</f>
        <v>36240</v>
      </c>
    </row>
    <row collapsed="false" customFormat="false" customHeight="true" hidden="false" ht="16.2" outlineLevel="0" r="704">
      <c r="A704" s="80"/>
      <c r="B704" s="89"/>
      <c r="C704" s="85"/>
      <c r="D704" s="85"/>
      <c r="E704" s="83" t="s">
        <v>1037</v>
      </c>
      <c r="F704" s="84" t="s">
        <v>1036</v>
      </c>
      <c r="G704" s="85"/>
      <c r="H704" s="85"/>
      <c r="I704" s="85"/>
      <c r="J704" s="85"/>
      <c r="K704" s="86"/>
      <c r="L704" s="86"/>
      <c r="M704" s="90" t="n">
        <f aca="false">2424+4715</f>
        <v>7139</v>
      </c>
      <c r="N704" s="91" t="n">
        <f aca="false">7062+8665</f>
        <v>15727</v>
      </c>
      <c r="O704" s="90" t="n">
        <v>4229</v>
      </c>
      <c r="P704" s="90" t="s">
        <v>1005</v>
      </c>
      <c r="Q704" s="81" t="n">
        <v>3367</v>
      </c>
      <c r="R704" s="81"/>
      <c r="S704" s="81" t="n">
        <v>2985</v>
      </c>
      <c r="T704" s="81" t="s">
        <v>1005</v>
      </c>
      <c r="U704" s="81" t="n">
        <v>2412</v>
      </c>
      <c r="V704" s="81" t="s">
        <v>1005</v>
      </c>
      <c r="W704" s="81" t="n">
        <v>2249</v>
      </c>
      <c r="X704" s="81" t="s">
        <v>1005</v>
      </c>
      <c r="Y704" s="81" t="n">
        <v>1669</v>
      </c>
      <c r="Z704" s="81" t="s">
        <v>1005</v>
      </c>
      <c r="AA704" s="81" t="n">
        <v>1286</v>
      </c>
      <c r="AB704" s="81" t="s">
        <v>1005</v>
      </c>
      <c r="AC704" s="81" t="n">
        <v>2213</v>
      </c>
      <c r="AD704" s="81" t="s">
        <v>1005</v>
      </c>
      <c r="AE704" s="90" t="n">
        <v>2213</v>
      </c>
      <c r="AF704" s="81" t="s">
        <v>1005</v>
      </c>
      <c r="AG704" s="81" t="n">
        <f aca="false">1307+1778</f>
        <v>3085</v>
      </c>
      <c r="AH704" s="81" t="s">
        <v>1005</v>
      </c>
      <c r="AI704" s="81" t="n">
        <f aca="false">2051+1932</f>
        <v>3983</v>
      </c>
      <c r="AJ704" s="81" t="s">
        <v>1005</v>
      </c>
      <c r="AK704" s="81" t="n">
        <f aca="false">1958+1572</f>
        <v>3530</v>
      </c>
      <c r="AL704" s="81" t="s">
        <v>1005</v>
      </c>
      <c r="AM704" s="81" t="n">
        <f aca="false">O704+Q704+S704+U704+W704+Y704+AA704+AC704+AE704+AG704+AI704+AK704</f>
        <v>33221</v>
      </c>
    </row>
    <row collapsed="false" customFormat="false" customHeight="true" hidden="false" ht="16.2" outlineLevel="0" r="705">
      <c r="A705" s="80" t="n">
        <v>366</v>
      </c>
      <c r="B705" s="100" t="s">
        <v>537</v>
      </c>
      <c r="C705" s="82" t="s">
        <v>1033</v>
      </c>
      <c r="D705" s="92" t="s">
        <v>1056</v>
      </c>
      <c r="E705" s="83" t="s">
        <v>1035</v>
      </c>
      <c r="F705" s="49" t="s">
        <v>1036</v>
      </c>
      <c r="G705" s="92"/>
      <c r="H705" s="85"/>
      <c r="I705" s="85"/>
      <c r="J705" s="85"/>
      <c r="K705" s="93"/>
      <c r="L705" s="93"/>
      <c r="M705" s="81"/>
      <c r="N705" s="81"/>
      <c r="O705" s="90"/>
      <c r="P705" s="95"/>
      <c r="Q705" s="81"/>
      <c r="R705" s="95"/>
      <c r="S705" s="81"/>
      <c r="T705" s="95"/>
      <c r="U705" s="81"/>
      <c r="V705" s="95"/>
      <c r="W705" s="81"/>
      <c r="X705" s="95"/>
      <c r="Y705" s="81"/>
      <c r="Z705" s="95"/>
      <c r="AA705" s="81"/>
      <c r="AB705" s="95"/>
      <c r="AC705" s="81"/>
      <c r="AD705" s="95"/>
      <c r="AE705" s="81"/>
      <c r="AF705" s="95"/>
      <c r="AG705" s="81"/>
      <c r="AH705" s="95"/>
      <c r="AI705" s="81"/>
      <c r="AJ705" s="95"/>
      <c r="AK705" s="81"/>
      <c r="AL705" s="95"/>
      <c r="AM705" s="81"/>
    </row>
    <row collapsed="false" customFormat="false" customHeight="true" hidden="false" ht="16.2" outlineLevel="0" r="706">
      <c r="A706" s="80"/>
      <c r="B706" s="101"/>
      <c r="C706" s="85"/>
      <c r="D706" s="92"/>
      <c r="E706" s="83" t="s">
        <v>1037</v>
      </c>
      <c r="F706" s="49" t="s">
        <v>1036</v>
      </c>
      <c r="G706" s="85" t="s">
        <v>1057</v>
      </c>
      <c r="H706" s="85" t="n">
        <v>12</v>
      </c>
      <c r="I706" s="85" t="s">
        <v>1046</v>
      </c>
      <c r="J706" s="85" t="n">
        <v>3</v>
      </c>
      <c r="K706" s="93" t="s">
        <v>53</v>
      </c>
      <c r="L706" s="93" t="s">
        <v>53</v>
      </c>
      <c r="M706" s="81" t="n">
        <v>5430</v>
      </c>
      <c r="N706" s="81" t="n">
        <v>5640</v>
      </c>
      <c r="O706" s="90" t="n">
        <v>682</v>
      </c>
      <c r="P706" s="95" t="s">
        <v>1005</v>
      </c>
      <c r="Q706" s="81" t="n">
        <v>687</v>
      </c>
      <c r="R706" s="95" t="s">
        <v>1005</v>
      </c>
      <c r="S706" s="81" t="n">
        <v>406</v>
      </c>
      <c r="T706" s="95" t="s">
        <v>1005</v>
      </c>
      <c r="U706" s="81" t="n">
        <v>441</v>
      </c>
      <c r="V706" s="95" t="s">
        <v>1005</v>
      </c>
      <c r="W706" s="81" t="n">
        <v>289</v>
      </c>
      <c r="X706" s="95" t="s">
        <v>1005</v>
      </c>
      <c r="Y706" s="81" t="n">
        <v>169</v>
      </c>
      <c r="Z706" s="95" t="s">
        <v>1005</v>
      </c>
      <c r="AA706" s="81" t="n">
        <v>268</v>
      </c>
      <c r="AB706" s="95" t="s">
        <v>1005</v>
      </c>
      <c r="AC706" s="81" t="n">
        <v>266</v>
      </c>
      <c r="AD706" s="95" t="s">
        <v>1005</v>
      </c>
      <c r="AE706" s="81" t="n">
        <v>501</v>
      </c>
      <c r="AF706" s="95" t="s">
        <v>1005</v>
      </c>
      <c r="AG706" s="81" t="n">
        <v>563</v>
      </c>
      <c r="AH706" s="95" t="s">
        <v>1005</v>
      </c>
      <c r="AI706" s="81" t="n">
        <v>632</v>
      </c>
      <c r="AJ706" s="95" t="s">
        <v>1005</v>
      </c>
      <c r="AK706" s="81" t="n">
        <v>622</v>
      </c>
      <c r="AL706" s="95" t="s">
        <v>1005</v>
      </c>
      <c r="AM706" s="81" t="n">
        <f aca="false">O706+Q706+S706+U706+W706+Y706+AA706+AC706+AE706+AG706+AI706+AK706</f>
        <v>5526</v>
      </c>
    </row>
    <row collapsed="false" customFormat="false" customHeight="true" hidden="false" ht="16.2" outlineLevel="0" r="707">
      <c r="A707" s="80" t="n">
        <v>367</v>
      </c>
      <c r="B707" s="100" t="s">
        <v>538</v>
      </c>
      <c r="C707" s="82" t="s">
        <v>1033</v>
      </c>
      <c r="D707" s="92" t="s">
        <v>1056</v>
      </c>
      <c r="E707" s="83" t="s">
        <v>1035</v>
      </c>
      <c r="F707" s="49" t="s">
        <v>1036</v>
      </c>
      <c r="G707" s="92"/>
      <c r="H707" s="85"/>
      <c r="I707" s="85"/>
      <c r="J707" s="85"/>
      <c r="K707" s="93"/>
      <c r="L707" s="93"/>
      <c r="M707" s="81"/>
      <c r="N707" s="81"/>
      <c r="O707" s="90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  <c r="AE707" s="95"/>
      <c r="AF707" s="95"/>
      <c r="AG707" s="95"/>
      <c r="AH707" s="95"/>
      <c r="AI707" s="95"/>
      <c r="AJ707" s="95"/>
      <c r="AK707" s="95"/>
      <c r="AL707" s="95"/>
      <c r="AM707" s="81"/>
    </row>
    <row collapsed="false" customFormat="false" customHeight="true" hidden="false" ht="16.2" outlineLevel="0" r="708">
      <c r="A708" s="80"/>
      <c r="B708" s="101"/>
      <c r="C708" s="85"/>
      <c r="D708" s="92"/>
      <c r="E708" s="83" t="s">
        <v>1037</v>
      </c>
      <c r="F708" s="49" t="s">
        <v>1036</v>
      </c>
      <c r="G708" s="85" t="s">
        <v>1057</v>
      </c>
      <c r="H708" s="85" t="n">
        <v>8</v>
      </c>
      <c r="I708" s="85" t="s">
        <v>1046</v>
      </c>
      <c r="J708" s="85" t="n">
        <v>2</v>
      </c>
      <c r="K708" s="93" t="s">
        <v>53</v>
      </c>
      <c r="L708" s="93" t="s">
        <v>53</v>
      </c>
      <c r="M708" s="81" t="n">
        <v>2876</v>
      </c>
      <c r="N708" s="81" t="n">
        <v>3588</v>
      </c>
      <c r="O708" s="90" t="n">
        <v>337</v>
      </c>
      <c r="P708" s="95" t="s">
        <v>1005</v>
      </c>
      <c r="Q708" s="81" t="n">
        <v>292</v>
      </c>
      <c r="R708" s="95" t="s">
        <v>1005</v>
      </c>
      <c r="S708" s="81" t="n">
        <v>149</v>
      </c>
      <c r="T708" s="95" t="s">
        <v>1005</v>
      </c>
      <c r="U708" s="81" t="n">
        <v>121</v>
      </c>
      <c r="V708" s="95" t="s">
        <v>1005</v>
      </c>
      <c r="W708" s="81" t="n">
        <v>112</v>
      </c>
      <c r="X708" s="95" t="s">
        <v>1005</v>
      </c>
      <c r="Y708" s="81" t="n">
        <v>65</v>
      </c>
      <c r="Z708" s="95" t="s">
        <v>1005</v>
      </c>
      <c r="AA708" s="81" t="n">
        <v>58</v>
      </c>
      <c r="AB708" s="95" t="s">
        <v>1005</v>
      </c>
      <c r="AC708" s="81" t="n">
        <v>79</v>
      </c>
      <c r="AD708" s="95" t="s">
        <v>1005</v>
      </c>
      <c r="AE708" s="81" t="n">
        <v>209</v>
      </c>
      <c r="AF708" s="95" t="s">
        <v>1005</v>
      </c>
      <c r="AG708" s="81" t="n">
        <v>282</v>
      </c>
      <c r="AH708" s="95" t="s">
        <v>1005</v>
      </c>
      <c r="AI708" s="81" t="n">
        <v>322</v>
      </c>
      <c r="AJ708" s="95" t="s">
        <v>1005</v>
      </c>
      <c r="AK708" s="81" t="n">
        <v>323</v>
      </c>
      <c r="AL708" s="95" t="s">
        <v>1005</v>
      </c>
      <c r="AM708" s="81" t="n">
        <f aca="false">O708+Q708+S708+U708+W708+Y708+AA708+AC708+AE708+AG708+AI708+AK708</f>
        <v>2349</v>
      </c>
    </row>
    <row collapsed="false" customFormat="false" customHeight="true" hidden="false" ht="16.2" outlineLevel="0" r="709">
      <c r="A709" s="80" t="n">
        <v>368</v>
      </c>
      <c r="B709" s="100" t="s">
        <v>539</v>
      </c>
      <c r="C709" s="82" t="s">
        <v>1033</v>
      </c>
      <c r="D709" s="92" t="s">
        <v>1056</v>
      </c>
      <c r="E709" s="83" t="s">
        <v>1035</v>
      </c>
      <c r="F709" s="49" t="s">
        <v>1036</v>
      </c>
      <c r="G709" s="92"/>
      <c r="H709" s="85"/>
      <c r="I709" s="85"/>
      <c r="J709" s="85"/>
      <c r="K709" s="93"/>
      <c r="L709" s="93"/>
      <c r="M709" s="81"/>
      <c r="N709" s="81"/>
      <c r="O709" s="90"/>
      <c r="P709" s="95"/>
      <c r="Q709" s="81"/>
      <c r="R709" s="95"/>
      <c r="S709" s="81"/>
      <c r="T709" s="95"/>
      <c r="U709" s="81"/>
      <c r="V709" s="95"/>
      <c r="W709" s="81"/>
      <c r="X709" s="95"/>
      <c r="Y709" s="81"/>
      <c r="Z709" s="95"/>
      <c r="AA709" s="81"/>
      <c r="AB709" s="95"/>
      <c r="AC709" s="81"/>
      <c r="AD709" s="95"/>
      <c r="AE709" s="81"/>
      <c r="AF709" s="95"/>
      <c r="AG709" s="81"/>
      <c r="AH709" s="95"/>
      <c r="AI709" s="81"/>
      <c r="AJ709" s="95"/>
      <c r="AK709" s="81"/>
      <c r="AL709" s="95"/>
      <c r="AM709" s="81"/>
    </row>
    <row collapsed="false" customFormat="false" customHeight="true" hidden="false" ht="16.2" outlineLevel="0" r="710">
      <c r="A710" s="80"/>
      <c r="B710" s="101"/>
      <c r="C710" s="85"/>
      <c r="D710" s="92"/>
      <c r="E710" s="83" t="s">
        <v>1037</v>
      </c>
      <c r="F710" s="49" t="s">
        <v>1036</v>
      </c>
      <c r="G710" s="85" t="s">
        <v>1057</v>
      </c>
      <c r="H710" s="85" t="n">
        <v>8</v>
      </c>
      <c r="I710" s="85"/>
      <c r="J710" s="85"/>
      <c r="K710" s="93" t="s">
        <v>53</v>
      </c>
      <c r="L710" s="93" t="s">
        <v>53</v>
      </c>
      <c r="M710" s="81" t="n">
        <v>2746</v>
      </c>
      <c r="N710" s="81" t="n">
        <v>2489</v>
      </c>
      <c r="O710" s="90" t="n">
        <v>307</v>
      </c>
      <c r="P710" s="95" t="s">
        <v>1005</v>
      </c>
      <c r="Q710" s="81" t="n">
        <v>302</v>
      </c>
      <c r="R710" s="95" t="s">
        <v>1005</v>
      </c>
      <c r="S710" s="81" t="n">
        <v>180</v>
      </c>
      <c r="T710" s="95" t="s">
        <v>1005</v>
      </c>
      <c r="U710" s="81" t="n">
        <v>200</v>
      </c>
      <c r="V710" s="95" t="s">
        <v>1005</v>
      </c>
      <c r="W710" s="81" t="n">
        <v>145</v>
      </c>
      <c r="X710" s="95" t="s">
        <v>1005</v>
      </c>
      <c r="Y710" s="81" t="n">
        <v>142</v>
      </c>
      <c r="Z710" s="95" t="s">
        <v>1005</v>
      </c>
      <c r="AA710" s="81" t="n">
        <v>112</v>
      </c>
      <c r="AB710" s="95" t="s">
        <v>1005</v>
      </c>
      <c r="AC710" s="81" t="n">
        <v>156</v>
      </c>
      <c r="AD710" s="95" t="s">
        <v>1005</v>
      </c>
      <c r="AE710" s="81" t="n">
        <v>251</v>
      </c>
      <c r="AF710" s="95" t="s">
        <v>1005</v>
      </c>
      <c r="AG710" s="81" t="n">
        <v>262</v>
      </c>
      <c r="AH710" s="95" t="s">
        <v>1005</v>
      </c>
      <c r="AI710" s="81" t="n">
        <v>247</v>
      </c>
      <c r="AJ710" s="95" t="s">
        <v>1005</v>
      </c>
      <c r="AK710" s="81" t="n">
        <v>241</v>
      </c>
      <c r="AL710" s="95" t="s">
        <v>1005</v>
      </c>
      <c r="AM710" s="81" t="n">
        <f aca="false">O710+Q710+S710+U710+W710+Y710+AA710+AC710+AE710+AG710+AI710+AK710</f>
        <v>2545</v>
      </c>
    </row>
    <row collapsed="false" customFormat="false" customHeight="true" hidden="false" ht="16.2" outlineLevel="0" r="711">
      <c r="A711" s="80" t="n">
        <v>369</v>
      </c>
      <c r="B711" s="100" t="s">
        <v>541</v>
      </c>
      <c r="C711" s="82" t="s">
        <v>1033</v>
      </c>
      <c r="D711" s="92" t="s">
        <v>1056</v>
      </c>
      <c r="E711" s="83" t="s">
        <v>1035</v>
      </c>
      <c r="F711" s="49" t="s">
        <v>1036</v>
      </c>
      <c r="G711" s="92"/>
      <c r="H711" s="85"/>
      <c r="I711" s="85"/>
      <c r="J711" s="85"/>
      <c r="K711" s="93"/>
      <c r="L711" s="93"/>
      <c r="M711" s="81"/>
      <c r="N711" s="81"/>
      <c r="O711" s="90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  <c r="AE711" s="95"/>
      <c r="AF711" s="95"/>
      <c r="AG711" s="95"/>
      <c r="AH711" s="95"/>
      <c r="AI711" s="95"/>
      <c r="AJ711" s="95"/>
      <c r="AK711" s="95"/>
      <c r="AL711" s="95"/>
      <c r="AM711" s="81"/>
    </row>
    <row collapsed="false" customFormat="false" customHeight="true" hidden="false" ht="16.2" outlineLevel="0" r="712">
      <c r="A712" s="80"/>
      <c r="B712" s="101"/>
      <c r="C712" s="85"/>
      <c r="D712" s="92"/>
      <c r="E712" s="83" t="s">
        <v>1037</v>
      </c>
      <c r="F712" s="49" t="s">
        <v>1036</v>
      </c>
      <c r="G712" s="85" t="s">
        <v>1057</v>
      </c>
      <c r="H712" s="85" t="n">
        <v>12</v>
      </c>
      <c r="I712" s="85"/>
      <c r="J712" s="85"/>
      <c r="K712" s="93" t="s">
        <v>53</v>
      </c>
      <c r="L712" s="93" t="s">
        <v>53</v>
      </c>
      <c r="M712" s="81" t="n">
        <v>1589</v>
      </c>
      <c r="N712" s="81" t="n">
        <v>1611</v>
      </c>
      <c r="O712" s="90" t="n">
        <v>234</v>
      </c>
      <c r="P712" s="95" t="s">
        <v>1005</v>
      </c>
      <c r="Q712" s="81" t="n">
        <v>257</v>
      </c>
      <c r="R712" s="95" t="s">
        <v>1005</v>
      </c>
      <c r="S712" s="81" t="n">
        <v>117</v>
      </c>
      <c r="T712" s="95" t="s">
        <v>1005</v>
      </c>
      <c r="U712" s="81" t="n">
        <v>110</v>
      </c>
      <c r="V712" s="95" t="s">
        <v>1005</v>
      </c>
      <c r="W712" s="81" t="n">
        <v>100</v>
      </c>
      <c r="X712" s="95" t="s">
        <v>1005</v>
      </c>
      <c r="Y712" s="81" t="n">
        <v>23</v>
      </c>
      <c r="Z712" s="95" t="s">
        <v>1005</v>
      </c>
      <c r="AA712" s="81" t="n">
        <v>57</v>
      </c>
      <c r="AB712" s="95" t="s">
        <v>1005</v>
      </c>
      <c r="AC712" s="81" t="n">
        <v>69</v>
      </c>
      <c r="AD712" s="95" t="s">
        <v>1005</v>
      </c>
      <c r="AE712" s="81" t="n">
        <v>105</v>
      </c>
      <c r="AF712" s="95" t="s">
        <v>1005</v>
      </c>
      <c r="AG712" s="81" t="n">
        <v>143</v>
      </c>
      <c r="AH712" s="95" t="s">
        <v>1005</v>
      </c>
      <c r="AI712" s="81" t="n">
        <v>207</v>
      </c>
      <c r="AJ712" s="95" t="s">
        <v>1005</v>
      </c>
      <c r="AK712" s="81" t="n">
        <v>205</v>
      </c>
      <c r="AL712" s="95" t="s">
        <v>1005</v>
      </c>
      <c r="AM712" s="81" t="n">
        <f aca="false">O712+Q712+S712+U712+W712+Y712+AA712+AC712+AE712+AG712+AI712+AK712</f>
        <v>1627</v>
      </c>
    </row>
    <row collapsed="false" customFormat="false" customHeight="true" hidden="false" ht="16.2" outlineLevel="0" r="713">
      <c r="A713" s="80" t="n">
        <v>370</v>
      </c>
      <c r="B713" s="100" t="s">
        <v>542</v>
      </c>
      <c r="C713" s="82" t="s">
        <v>1033</v>
      </c>
      <c r="D713" s="92" t="s">
        <v>1056</v>
      </c>
      <c r="E713" s="83" t="s">
        <v>1035</v>
      </c>
      <c r="F713" s="49" t="s">
        <v>1036</v>
      </c>
      <c r="G713" s="92"/>
      <c r="H713" s="85"/>
      <c r="I713" s="85"/>
      <c r="J713" s="85"/>
      <c r="K713" s="93"/>
      <c r="L713" s="93"/>
      <c r="M713" s="81"/>
      <c r="N713" s="81"/>
      <c r="O713" s="90"/>
      <c r="P713" s="95"/>
      <c r="Q713" s="81"/>
      <c r="R713" s="95"/>
      <c r="S713" s="81"/>
      <c r="T713" s="95"/>
      <c r="U713" s="81"/>
      <c r="V713" s="95"/>
      <c r="W713" s="81"/>
      <c r="X713" s="95"/>
      <c r="Y713" s="81"/>
      <c r="Z713" s="95"/>
      <c r="AA713" s="81"/>
      <c r="AB713" s="95"/>
      <c r="AC713" s="81"/>
      <c r="AD713" s="95"/>
      <c r="AE713" s="81"/>
      <c r="AF713" s="95"/>
      <c r="AG713" s="81"/>
      <c r="AH713" s="95"/>
      <c r="AI713" s="81"/>
      <c r="AJ713" s="95"/>
      <c r="AK713" s="81"/>
      <c r="AL713" s="95"/>
      <c r="AM713" s="81"/>
    </row>
    <row collapsed="false" customFormat="false" customHeight="true" hidden="false" ht="16.2" outlineLevel="0" r="714">
      <c r="A714" s="80"/>
      <c r="B714" s="101"/>
      <c r="C714" s="85"/>
      <c r="D714" s="92"/>
      <c r="E714" s="83" t="s">
        <v>1037</v>
      </c>
      <c r="F714" s="49" t="s">
        <v>1036</v>
      </c>
      <c r="G714" s="85" t="s">
        <v>1057</v>
      </c>
      <c r="H714" s="85" t="n">
        <v>12</v>
      </c>
      <c r="I714" s="85"/>
      <c r="J714" s="85"/>
      <c r="K714" s="93" t="s">
        <v>53</v>
      </c>
      <c r="L714" s="93" t="s">
        <v>53</v>
      </c>
      <c r="M714" s="81" t="n">
        <v>5597</v>
      </c>
      <c r="N714" s="81" t="n">
        <v>5641</v>
      </c>
      <c r="O714" s="90" t="n">
        <v>565</v>
      </c>
      <c r="P714" s="95" t="s">
        <v>1005</v>
      </c>
      <c r="Q714" s="81" t="n">
        <v>587</v>
      </c>
      <c r="R714" s="95" t="s">
        <v>1005</v>
      </c>
      <c r="S714" s="81" t="n">
        <v>393</v>
      </c>
      <c r="T714" s="95" t="s">
        <v>1005</v>
      </c>
      <c r="U714" s="81" t="n">
        <v>396</v>
      </c>
      <c r="V714" s="95" t="s">
        <v>1005</v>
      </c>
      <c r="W714" s="81" t="n">
        <v>354</v>
      </c>
      <c r="X714" s="95" t="s">
        <v>1005</v>
      </c>
      <c r="Y714" s="81" t="n">
        <v>302</v>
      </c>
      <c r="Z714" s="95" t="s">
        <v>1005</v>
      </c>
      <c r="AA714" s="81" t="n">
        <v>395</v>
      </c>
      <c r="AB714" s="95" t="s">
        <v>1005</v>
      </c>
      <c r="AC714" s="81" t="n">
        <v>397</v>
      </c>
      <c r="AD714" s="95" t="s">
        <v>1005</v>
      </c>
      <c r="AE714" s="81" t="n">
        <v>475</v>
      </c>
      <c r="AF714" s="95" t="s">
        <v>1005</v>
      </c>
      <c r="AG714" s="81" t="n">
        <v>580</v>
      </c>
      <c r="AH714" s="95" t="s">
        <v>1005</v>
      </c>
      <c r="AI714" s="81" t="n">
        <v>472</v>
      </c>
      <c r="AJ714" s="95" t="s">
        <v>1005</v>
      </c>
      <c r="AK714" s="81" t="n">
        <v>468</v>
      </c>
      <c r="AL714" s="95" t="s">
        <v>1005</v>
      </c>
      <c r="AM714" s="81" t="n">
        <f aca="false">O714+Q714+S714+U714+W714+Y714+AA714+AC714+AE714+AG714+AI714+AK714</f>
        <v>5384</v>
      </c>
    </row>
    <row collapsed="false" customFormat="false" customHeight="true" hidden="false" ht="16.2" outlineLevel="0" r="715">
      <c r="A715" s="80" t="n">
        <v>371</v>
      </c>
      <c r="B715" s="81" t="s">
        <v>544</v>
      </c>
      <c r="C715" s="82" t="s">
        <v>1033</v>
      </c>
      <c r="D715" s="82" t="s">
        <v>1034</v>
      </c>
      <c r="E715" s="83" t="s">
        <v>1035</v>
      </c>
      <c r="F715" s="84" t="s">
        <v>1036</v>
      </c>
      <c r="G715" s="85"/>
      <c r="H715" s="85"/>
      <c r="I715" s="85"/>
      <c r="J715" s="85"/>
      <c r="K715" s="86" t="s">
        <v>53</v>
      </c>
      <c r="L715" s="86" t="s">
        <v>53</v>
      </c>
      <c r="M715" s="90"/>
      <c r="N715" s="90"/>
      <c r="O715" s="90"/>
      <c r="P715" s="90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  <c r="AC715" s="81"/>
      <c r="AD715" s="81"/>
      <c r="AE715" s="90"/>
      <c r="AF715" s="81"/>
      <c r="AG715" s="81"/>
      <c r="AH715" s="81"/>
      <c r="AI715" s="81"/>
      <c r="AJ715" s="81"/>
      <c r="AK715" s="81"/>
      <c r="AL715" s="81"/>
      <c r="AM715" s="81" t="n">
        <f aca="false">O715+Q715+S715+U715+W715+Y715+AA715+AC715+AE715+AG715+AI715+AK715</f>
        <v>0</v>
      </c>
    </row>
    <row collapsed="false" customFormat="false" customHeight="true" hidden="false" ht="16.2" outlineLevel="0" r="716">
      <c r="A716" s="80"/>
      <c r="B716" s="89"/>
      <c r="C716" s="85"/>
      <c r="D716" s="85"/>
      <c r="E716" s="83" t="s">
        <v>1037</v>
      </c>
      <c r="F716" s="84" t="s">
        <v>1036</v>
      </c>
      <c r="G716" s="85"/>
      <c r="H716" s="85"/>
      <c r="I716" s="85"/>
      <c r="J716" s="85"/>
      <c r="K716" s="86"/>
      <c r="L716" s="86"/>
      <c r="M716" s="90" t="n">
        <f aca="false">3075+3245</f>
        <v>6320</v>
      </c>
      <c r="N716" s="91" t="n">
        <f aca="false">2184+2703</f>
        <v>4887</v>
      </c>
      <c r="O716" s="90" t="n">
        <v>579</v>
      </c>
      <c r="P716" s="90" t="s">
        <v>1005</v>
      </c>
      <c r="Q716" s="81" t="n">
        <v>552</v>
      </c>
      <c r="R716" s="81"/>
      <c r="S716" s="81" t="n">
        <v>374</v>
      </c>
      <c r="T716" s="81" t="s">
        <v>1005</v>
      </c>
      <c r="U716" s="81" t="n">
        <v>499</v>
      </c>
      <c r="V716" s="81" t="s">
        <v>1005</v>
      </c>
      <c r="W716" s="81" t="n">
        <v>310</v>
      </c>
      <c r="X716" s="81" t="s">
        <v>1005</v>
      </c>
      <c r="Y716" s="81" t="n">
        <v>235</v>
      </c>
      <c r="Z716" s="81" t="s">
        <v>1005</v>
      </c>
      <c r="AA716" s="81" t="n">
        <v>165</v>
      </c>
      <c r="AB716" s="81" t="s">
        <v>1005</v>
      </c>
      <c r="AC716" s="81" t="n">
        <v>311</v>
      </c>
      <c r="AD716" s="81" t="s">
        <v>1005</v>
      </c>
      <c r="AE716" s="90" t="n">
        <v>311</v>
      </c>
      <c r="AF716" s="81" t="s">
        <v>1005</v>
      </c>
      <c r="AG716" s="81" t="n">
        <f aca="false">174+225</f>
        <v>399</v>
      </c>
      <c r="AH716" s="81" t="s">
        <v>1005</v>
      </c>
      <c r="AI716" s="81" t="n">
        <f aca="false">339+325</f>
        <v>664</v>
      </c>
      <c r="AJ716" s="81" t="s">
        <v>1005</v>
      </c>
      <c r="AK716" s="81" t="n">
        <f aca="false">417+322</f>
        <v>739</v>
      </c>
      <c r="AL716" s="81" t="s">
        <v>1005</v>
      </c>
      <c r="AM716" s="81" t="n">
        <f aca="false">O716+Q716+S716+U716+W716+Y716+AA716+AC716+AE716+AG716+AI716+AK716</f>
        <v>5138</v>
      </c>
    </row>
    <row collapsed="false" customFormat="false" customHeight="true" hidden="false" ht="16.2" outlineLevel="0" r="717">
      <c r="A717" s="80" t="n">
        <v>372</v>
      </c>
      <c r="B717" s="81" t="s">
        <v>545</v>
      </c>
      <c r="C717" s="82" t="s">
        <v>1033</v>
      </c>
      <c r="D717" s="82" t="s">
        <v>1034</v>
      </c>
      <c r="E717" s="83" t="s">
        <v>1035</v>
      </c>
      <c r="F717" s="84" t="s">
        <v>1036</v>
      </c>
      <c r="G717" s="85"/>
      <c r="H717" s="85"/>
      <c r="I717" s="85"/>
      <c r="J717" s="85"/>
      <c r="K717" s="86" t="s">
        <v>53</v>
      </c>
      <c r="L717" s="86" t="s">
        <v>53</v>
      </c>
      <c r="M717" s="90"/>
      <c r="N717" s="90"/>
      <c r="O717" s="90"/>
      <c r="P717" s="90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  <c r="AC717" s="81"/>
      <c r="AD717" s="81"/>
      <c r="AE717" s="90"/>
      <c r="AF717" s="81"/>
      <c r="AG717" s="81"/>
      <c r="AH717" s="81"/>
      <c r="AI717" s="81"/>
      <c r="AJ717" s="81"/>
      <c r="AK717" s="81"/>
      <c r="AL717" s="81"/>
      <c r="AM717" s="81" t="n">
        <f aca="false">O717+Q717+S717+U717+W717+Y717+AA717+AC717+AE717+AG717+AI717+AK717</f>
        <v>0</v>
      </c>
    </row>
    <row collapsed="false" customFormat="false" customHeight="true" hidden="false" ht="16.2" outlineLevel="0" r="718">
      <c r="A718" s="80"/>
      <c r="B718" s="89"/>
      <c r="C718" s="85"/>
      <c r="D718" s="85"/>
      <c r="E718" s="83" t="s">
        <v>1037</v>
      </c>
      <c r="F718" s="84" t="s">
        <v>1036</v>
      </c>
      <c r="G718" s="85"/>
      <c r="H718" s="85"/>
      <c r="I718" s="85"/>
      <c r="J718" s="85"/>
      <c r="K718" s="86"/>
      <c r="L718" s="86"/>
      <c r="M718" s="90" t="n">
        <f aca="false">653+259</f>
        <v>912</v>
      </c>
      <c r="N718" s="91" t="n">
        <f aca="false">11+175+17</f>
        <v>203</v>
      </c>
      <c r="O718" s="90" t="n">
        <v>21</v>
      </c>
      <c r="P718" s="90" t="s">
        <v>1005</v>
      </c>
      <c r="Q718" s="81" t="n">
        <v>24</v>
      </c>
      <c r="R718" s="81"/>
      <c r="S718" s="81" t="n">
        <v>16</v>
      </c>
      <c r="T718" s="81" t="s">
        <v>1005</v>
      </c>
      <c r="U718" s="81" t="n">
        <v>8</v>
      </c>
      <c r="V718" s="81" t="s">
        <v>1005</v>
      </c>
      <c r="W718" s="81" t="n">
        <v>25</v>
      </c>
      <c r="X718" s="81" t="s">
        <v>1005</v>
      </c>
      <c r="Y718" s="81" t="n">
        <v>34</v>
      </c>
      <c r="Z718" s="81" t="s">
        <v>1005</v>
      </c>
      <c r="AA718" s="81" t="n">
        <v>24</v>
      </c>
      <c r="AB718" s="81" t="s">
        <v>1005</v>
      </c>
      <c r="AC718" s="81" t="n">
        <v>10</v>
      </c>
      <c r="AD718" s="81" t="s">
        <v>1005</v>
      </c>
      <c r="AE718" s="90" t="n">
        <v>10</v>
      </c>
      <c r="AF718" s="81" t="s">
        <v>1005</v>
      </c>
      <c r="AG718" s="81" t="n">
        <f aca="false">1+12</f>
        <v>13</v>
      </c>
      <c r="AH718" s="81" t="s">
        <v>1005</v>
      </c>
      <c r="AI718" s="81" t="n">
        <f aca="false">10</f>
        <v>10</v>
      </c>
      <c r="AJ718" s="81" t="s">
        <v>1005</v>
      </c>
      <c r="AK718" s="81" t="n">
        <f aca="false">1+25</f>
        <v>26</v>
      </c>
      <c r="AL718" s="81" t="s">
        <v>1005</v>
      </c>
      <c r="AM718" s="81" t="n">
        <f aca="false">O718+Q718+S718+U718+W718+Y718+AA718+AC718+AE718+AG718+AI718+AK718</f>
        <v>221</v>
      </c>
    </row>
    <row collapsed="false" customFormat="false" customHeight="true" hidden="false" ht="16.2" outlineLevel="0" r="719">
      <c r="A719" s="80" t="n">
        <v>373</v>
      </c>
      <c r="B719" s="81" t="s">
        <v>546</v>
      </c>
      <c r="C719" s="82" t="s">
        <v>1033</v>
      </c>
      <c r="D719" s="82" t="s">
        <v>1034</v>
      </c>
      <c r="E719" s="83" t="s">
        <v>1035</v>
      </c>
      <c r="F719" s="84" t="s">
        <v>1036</v>
      </c>
      <c r="G719" s="85"/>
      <c r="H719" s="85"/>
      <c r="I719" s="85"/>
      <c r="J719" s="85"/>
      <c r="K719" s="86" t="s">
        <v>53</v>
      </c>
      <c r="L719" s="86" t="s">
        <v>53</v>
      </c>
      <c r="M719" s="90"/>
      <c r="N719" s="90"/>
      <c r="O719" s="90"/>
      <c r="P719" s="90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  <c r="AC719" s="81"/>
      <c r="AD719" s="81"/>
      <c r="AE719" s="90"/>
      <c r="AF719" s="81"/>
      <c r="AG719" s="81"/>
      <c r="AH719" s="81"/>
      <c r="AI719" s="81"/>
      <c r="AJ719" s="81"/>
      <c r="AK719" s="81"/>
      <c r="AL719" s="81"/>
      <c r="AM719" s="81" t="n">
        <f aca="false">O719+Q719+S719+U719+W719+Y719+AA719+AC719+AE719+AG719+AI719+AK719</f>
        <v>0</v>
      </c>
    </row>
    <row collapsed="false" customFormat="false" customHeight="true" hidden="false" ht="16.2" outlineLevel="0" r="720">
      <c r="A720" s="80"/>
      <c r="B720" s="89"/>
      <c r="C720" s="85"/>
      <c r="D720" s="85"/>
      <c r="E720" s="83" t="s">
        <v>1037</v>
      </c>
      <c r="F720" s="84" t="s">
        <v>1036</v>
      </c>
      <c r="G720" s="85"/>
      <c r="H720" s="85"/>
      <c r="I720" s="85"/>
      <c r="J720" s="85"/>
      <c r="K720" s="86"/>
      <c r="L720" s="86"/>
      <c r="M720" s="90" t="n">
        <f aca="false">805+497</f>
        <v>1302</v>
      </c>
      <c r="N720" s="91" t="n">
        <f aca="false">686+585</f>
        <v>1271</v>
      </c>
      <c r="O720" s="90" t="n">
        <v>80</v>
      </c>
      <c r="P720" s="90" t="s">
        <v>1005</v>
      </c>
      <c r="Q720" s="81" t="n">
        <v>86</v>
      </c>
      <c r="R720" s="81"/>
      <c r="S720" s="81" t="n">
        <v>69</v>
      </c>
      <c r="T720" s="81" t="s">
        <v>1005</v>
      </c>
      <c r="U720" s="81" t="n">
        <v>92</v>
      </c>
      <c r="V720" s="81" t="s">
        <v>1005</v>
      </c>
      <c r="W720" s="81" t="n">
        <v>76</v>
      </c>
      <c r="X720" s="81" t="s">
        <v>1005</v>
      </c>
      <c r="Y720" s="81" t="n">
        <v>83</v>
      </c>
      <c r="Z720" s="81" t="s">
        <v>1005</v>
      </c>
      <c r="AA720" s="81" t="n">
        <v>79</v>
      </c>
      <c r="AB720" s="81" t="s">
        <v>1005</v>
      </c>
      <c r="AC720" s="81" t="n">
        <v>86</v>
      </c>
      <c r="AD720" s="81" t="s">
        <v>1005</v>
      </c>
      <c r="AE720" s="90" t="n">
        <v>86</v>
      </c>
      <c r="AF720" s="81" t="s">
        <v>1005</v>
      </c>
      <c r="AG720" s="81" t="n">
        <f aca="false">77+49</f>
        <v>126</v>
      </c>
      <c r="AH720" s="81" t="s">
        <v>1005</v>
      </c>
      <c r="AI720" s="81" t="n">
        <f aca="false">106+59</f>
        <v>165</v>
      </c>
      <c r="AJ720" s="81" t="s">
        <v>1005</v>
      </c>
      <c r="AK720" s="81" t="n">
        <f aca="false">134+72</f>
        <v>206</v>
      </c>
      <c r="AL720" s="81" t="s">
        <v>1005</v>
      </c>
      <c r="AM720" s="81" t="n">
        <f aca="false">O720+Q720+S720+U720+W720+Y720+AA720+AC720+AE720+AG720+AI720+AK720</f>
        <v>1234</v>
      </c>
    </row>
    <row collapsed="false" customFormat="false" customHeight="true" hidden="false" ht="16.2" outlineLevel="0" r="721">
      <c r="A721" s="80" t="n">
        <v>374</v>
      </c>
      <c r="B721" s="81"/>
      <c r="C721" s="82" t="s">
        <v>1033</v>
      </c>
      <c r="D721" s="85"/>
      <c r="E721" s="83" t="s">
        <v>1035</v>
      </c>
      <c r="F721" s="49" t="s">
        <v>1036</v>
      </c>
      <c r="G721" s="85"/>
      <c r="H721" s="85"/>
      <c r="I721" s="85"/>
      <c r="J721" s="85"/>
      <c r="K721" s="85"/>
      <c r="L721" s="85"/>
      <c r="M721" s="81"/>
      <c r="N721" s="81"/>
      <c r="O721" s="96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  <c r="AC721" s="81"/>
      <c r="AD721" s="81"/>
      <c r="AE721" s="81"/>
      <c r="AF721" s="81"/>
      <c r="AG721" s="81"/>
      <c r="AH721" s="81"/>
      <c r="AI721" s="81"/>
      <c r="AJ721" s="81"/>
      <c r="AK721" s="81"/>
      <c r="AL721" s="81"/>
      <c r="AM721" s="81"/>
    </row>
    <row collapsed="false" customFormat="false" customHeight="true" hidden="false" ht="16.2" outlineLevel="0" r="722">
      <c r="A722" s="80"/>
      <c r="B722" s="81" t="s">
        <v>548</v>
      </c>
      <c r="C722" s="85"/>
      <c r="D722" s="85" t="s">
        <v>1054</v>
      </c>
      <c r="E722" s="83" t="s">
        <v>1037</v>
      </c>
      <c r="F722" s="49" t="s">
        <v>1036</v>
      </c>
      <c r="G722" s="85" t="s">
        <v>1042</v>
      </c>
      <c r="H722" s="85" t="n">
        <v>4</v>
      </c>
      <c r="I722" s="85" t="s">
        <v>1039</v>
      </c>
      <c r="J722" s="85" t="n">
        <v>1</v>
      </c>
      <c r="K722" s="85" t="s">
        <v>1041</v>
      </c>
      <c r="L722" s="85" t="s">
        <v>1041</v>
      </c>
      <c r="M722" s="81"/>
      <c r="N722" s="81"/>
      <c r="O722" s="96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  <c r="AC722" s="81"/>
      <c r="AD722" s="81"/>
      <c r="AE722" s="81"/>
      <c r="AF722" s="81"/>
      <c r="AG722" s="81"/>
      <c r="AH722" s="81"/>
      <c r="AI722" s="81"/>
      <c r="AJ722" s="81"/>
      <c r="AK722" s="81"/>
      <c r="AL722" s="81"/>
      <c r="AM722" s="81"/>
    </row>
    <row collapsed="false" customFormat="false" customHeight="true" hidden="false" ht="16.2" outlineLevel="0" r="723">
      <c r="A723" s="80" t="n">
        <v>375</v>
      </c>
      <c r="B723" s="81"/>
      <c r="C723" s="82" t="s">
        <v>1033</v>
      </c>
      <c r="D723" s="85"/>
      <c r="E723" s="83" t="s">
        <v>1035</v>
      </c>
      <c r="F723" s="49" t="s">
        <v>1036</v>
      </c>
      <c r="G723" s="85"/>
      <c r="H723" s="85"/>
      <c r="I723" s="85"/>
      <c r="J723" s="85"/>
      <c r="K723" s="85"/>
      <c r="L723" s="85"/>
      <c r="M723" s="81"/>
      <c r="N723" s="81"/>
      <c r="O723" s="96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  <c r="AC723" s="81"/>
      <c r="AD723" s="81"/>
      <c r="AE723" s="81"/>
      <c r="AF723" s="81"/>
      <c r="AG723" s="81"/>
      <c r="AH723" s="81"/>
      <c r="AI723" s="81"/>
      <c r="AJ723" s="81"/>
      <c r="AK723" s="81"/>
      <c r="AL723" s="81"/>
      <c r="AM723" s="81"/>
    </row>
    <row collapsed="false" customFormat="false" customHeight="true" hidden="false" ht="16.2" outlineLevel="0" r="724">
      <c r="A724" s="80"/>
      <c r="B724" s="81" t="s">
        <v>549</v>
      </c>
      <c r="C724" s="85"/>
      <c r="D724" s="85" t="s">
        <v>1054</v>
      </c>
      <c r="E724" s="83" t="s">
        <v>1037</v>
      </c>
      <c r="F724" s="49" t="s">
        <v>1036</v>
      </c>
      <c r="G724" s="85" t="s">
        <v>1042</v>
      </c>
      <c r="H724" s="85" t="n">
        <v>6</v>
      </c>
      <c r="I724" s="85" t="s">
        <v>1039</v>
      </c>
      <c r="J724" s="85" t="n">
        <v>2</v>
      </c>
      <c r="K724" s="85" t="s">
        <v>1041</v>
      </c>
      <c r="L724" s="85" t="s">
        <v>1041</v>
      </c>
      <c r="M724" s="81"/>
      <c r="N724" s="81"/>
      <c r="O724" s="96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  <c r="AC724" s="81"/>
      <c r="AD724" s="81"/>
      <c r="AE724" s="81"/>
      <c r="AF724" s="81"/>
      <c r="AG724" s="81"/>
      <c r="AH724" s="81"/>
      <c r="AI724" s="81"/>
      <c r="AJ724" s="81"/>
      <c r="AK724" s="81"/>
      <c r="AL724" s="81"/>
      <c r="AM724" s="81"/>
    </row>
    <row collapsed="false" customFormat="false" customHeight="true" hidden="false" ht="16.2" outlineLevel="0" r="725">
      <c r="A725" s="80" t="n">
        <v>376</v>
      </c>
      <c r="B725" s="81" t="s">
        <v>551</v>
      </c>
      <c r="C725" s="82" t="s">
        <v>1033</v>
      </c>
      <c r="D725" s="82" t="s">
        <v>1034</v>
      </c>
      <c r="E725" s="83" t="s">
        <v>1035</v>
      </c>
      <c r="F725" s="84" t="s">
        <v>1036</v>
      </c>
      <c r="G725" s="85"/>
      <c r="H725" s="85"/>
      <c r="I725" s="85"/>
      <c r="J725" s="85"/>
      <c r="K725" s="86" t="s">
        <v>53</v>
      </c>
      <c r="L725" s="86" t="s">
        <v>53</v>
      </c>
      <c r="M725" s="90"/>
      <c r="N725" s="90"/>
      <c r="O725" s="90"/>
      <c r="P725" s="90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  <c r="AC725" s="81"/>
      <c r="AD725" s="81"/>
      <c r="AE725" s="90"/>
      <c r="AF725" s="81"/>
      <c r="AG725" s="81"/>
      <c r="AH725" s="81"/>
      <c r="AI725" s="81"/>
      <c r="AJ725" s="81"/>
      <c r="AK725" s="81"/>
      <c r="AL725" s="81"/>
      <c r="AM725" s="81" t="n">
        <f aca="false">O725+Q725+S725+U725+W725+Y725+AA725+AC725+AE725+AG725+AI725+AK725</f>
        <v>0</v>
      </c>
    </row>
    <row collapsed="false" customFormat="false" customHeight="true" hidden="false" ht="16.2" outlineLevel="0" r="726">
      <c r="A726" s="80"/>
      <c r="B726" s="89"/>
      <c r="C726" s="85"/>
      <c r="D726" s="85"/>
      <c r="E726" s="83" t="s">
        <v>1037</v>
      </c>
      <c r="F726" s="84" t="s">
        <v>1036</v>
      </c>
      <c r="G726" s="85"/>
      <c r="H726" s="85"/>
      <c r="I726" s="85"/>
      <c r="J726" s="85"/>
      <c r="K726" s="86"/>
      <c r="L726" s="86"/>
      <c r="M726" s="90" t="n">
        <f aca="false">288+434</f>
        <v>722</v>
      </c>
      <c r="N726" s="91" t="n">
        <f aca="false">1540+1505</f>
        <v>3045</v>
      </c>
      <c r="O726" s="90" t="n">
        <v>369</v>
      </c>
      <c r="P726" s="90" t="s">
        <v>1005</v>
      </c>
      <c r="Q726" s="81" t="n">
        <v>415</v>
      </c>
      <c r="R726" s="81"/>
      <c r="S726" s="81" t="n">
        <v>288</v>
      </c>
      <c r="T726" s="81" t="s">
        <v>1005</v>
      </c>
      <c r="U726" s="81" t="n">
        <v>262</v>
      </c>
      <c r="V726" s="81" t="s">
        <v>1005</v>
      </c>
      <c r="W726" s="81" t="n">
        <v>167</v>
      </c>
      <c r="X726" s="81" t="s">
        <v>1005</v>
      </c>
      <c r="Y726" s="81" t="n">
        <v>116</v>
      </c>
      <c r="Z726" s="81" t="s">
        <v>1005</v>
      </c>
      <c r="AA726" s="81" t="n">
        <v>101</v>
      </c>
      <c r="AB726" s="81" t="s">
        <v>1005</v>
      </c>
      <c r="AC726" s="81" t="n">
        <v>282</v>
      </c>
      <c r="AD726" s="81" t="s">
        <v>1005</v>
      </c>
      <c r="AE726" s="90" t="n">
        <v>282</v>
      </c>
      <c r="AF726" s="81" t="s">
        <v>1005</v>
      </c>
      <c r="AG726" s="81" t="n">
        <f aca="false">121+167</f>
        <v>288</v>
      </c>
      <c r="AH726" s="81" t="s">
        <v>1005</v>
      </c>
      <c r="AI726" s="81" t="n">
        <f aca="false">277+227</f>
        <v>504</v>
      </c>
      <c r="AJ726" s="81" t="s">
        <v>1005</v>
      </c>
      <c r="AK726" s="81" t="n">
        <f aca="false">318+208</f>
        <v>526</v>
      </c>
      <c r="AL726" s="81" t="s">
        <v>1005</v>
      </c>
      <c r="AM726" s="81" t="n">
        <f aca="false">O726+Q726+S726+U726+W726+Y726+AA726+AC726+AE726+AG726+AI726+AK726</f>
        <v>3600</v>
      </c>
    </row>
    <row collapsed="false" customFormat="false" customHeight="true" hidden="false" ht="16.2" outlineLevel="0" r="727">
      <c r="A727" s="80" t="n">
        <v>377</v>
      </c>
      <c r="B727" s="81"/>
      <c r="C727" s="82" t="s">
        <v>1033</v>
      </c>
      <c r="D727" s="85"/>
      <c r="E727" s="83" t="s">
        <v>1035</v>
      </c>
      <c r="F727" s="49" t="s">
        <v>1036</v>
      </c>
      <c r="G727" s="85"/>
      <c r="H727" s="85"/>
      <c r="I727" s="85"/>
      <c r="J727" s="85"/>
      <c r="K727" s="85"/>
      <c r="L727" s="85"/>
      <c r="M727" s="81"/>
      <c r="N727" s="81"/>
      <c r="O727" s="96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  <c r="AC727" s="81"/>
      <c r="AD727" s="81"/>
      <c r="AE727" s="81"/>
      <c r="AF727" s="81"/>
      <c r="AG727" s="81"/>
      <c r="AH727" s="81"/>
      <c r="AI727" s="81"/>
      <c r="AJ727" s="81"/>
      <c r="AK727" s="81"/>
      <c r="AL727" s="81"/>
      <c r="AM727" s="81"/>
    </row>
    <row collapsed="false" customFormat="false" customHeight="true" hidden="false" ht="16.2" outlineLevel="0" r="728">
      <c r="A728" s="80"/>
      <c r="B728" s="81" t="s">
        <v>554</v>
      </c>
      <c r="C728" s="85"/>
      <c r="D728" s="85" t="s">
        <v>1054</v>
      </c>
      <c r="E728" s="83" t="s">
        <v>1037</v>
      </c>
      <c r="F728" s="49" t="s">
        <v>1036</v>
      </c>
      <c r="G728" s="85" t="s">
        <v>1042</v>
      </c>
      <c r="H728" s="85" t="n">
        <v>8</v>
      </c>
      <c r="I728" s="85" t="s">
        <v>1039</v>
      </c>
      <c r="J728" s="85" t="n">
        <v>2</v>
      </c>
      <c r="K728" s="85" t="s">
        <v>1041</v>
      </c>
      <c r="L728" s="85" t="s">
        <v>1041</v>
      </c>
      <c r="M728" s="81" t="n">
        <v>1710</v>
      </c>
      <c r="N728" s="81"/>
      <c r="O728" s="96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  <c r="AC728" s="81"/>
      <c r="AD728" s="81"/>
      <c r="AE728" s="81"/>
      <c r="AF728" s="81"/>
      <c r="AG728" s="81"/>
      <c r="AH728" s="81"/>
      <c r="AI728" s="81"/>
      <c r="AJ728" s="81"/>
      <c r="AK728" s="81"/>
      <c r="AL728" s="81"/>
      <c r="AM728" s="81"/>
    </row>
    <row collapsed="false" customFormat="false" customHeight="true" hidden="false" ht="16.2" outlineLevel="0" r="729">
      <c r="A729" s="80" t="n">
        <v>378</v>
      </c>
      <c r="B729" s="81"/>
      <c r="C729" s="82" t="s">
        <v>1033</v>
      </c>
      <c r="D729" s="85"/>
      <c r="E729" s="83" t="s">
        <v>1035</v>
      </c>
      <c r="F729" s="49" t="s">
        <v>1036</v>
      </c>
      <c r="G729" s="85"/>
      <c r="H729" s="85"/>
      <c r="I729" s="85"/>
      <c r="J729" s="85"/>
      <c r="K729" s="85"/>
      <c r="L729" s="85"/>
      <c r="M729" s="81"/>
      <c r="N729" s="81"/>
      <c r="O729" s="96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  <c r="AC729" s="81"/>
      <c r="AD729" s="81"/>
      <c r="AE729" s="81"/>
      <c r="AF729" s="81"/>
      <c r="AG729" s="81"/>
      <c r="AH729" s="81"/>
      <c r="AI729" s="81"/>
      <c r="AJ729" s="81"/>
      <c r="AK729" s="81"/>
      <c r="AL729" s="81"/>
      <c r="AM729" s="81"/>
    </row>
    <row collapsed="false" customFormat="false" customHeight="true" hidden="false" ht="16.2" outlineLevel="0" r="730">
      <c r="A730" s="80"/>
      <c r="B730" s="81" t="s">
        <v>555</v>
      </c>
      <c r="C730" s="85"/>
      <c r="D730" s="85" t="s">
        <v>1054</v>
      </c>
      <c r="E730" s="83" t="s">
        <v>1037</v>
      </c>
      <c r="F730" s="49" t="s">
        <v>1036</v>
      </c>
      <c r="G730" s="85" t="s">
        <v>1042</v>
      </c>
      <c r="H730" s="85" t="n">
        <v>24</v>
      </c>
      <c r="I730" s="85" t="s">
        <v>1039</v>
      </c>
      <c r="J730" s="85" t="n">
        <v>2</v>
      </c>
      <c r="K730" s="85" t="s">
        <v>1041</v>
      </c>
      <c r="L730" s="85" t="s">
        <v>1041</v>
      </c>
      <c r="M730" s="81" t="n">
        <v>5958</v>
      </c>
      <c r="N730" s="81"/>
      <c r="O730" s="96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  <c r="AC730" s="81"/>
      <c r="AD730" s="81"/>
      <c r="AE730" s="81"/>
      <c r="AF730" s="81"/>
      <c r="AG730" s="81"/>
      <c r="AH730" s="81"/>
      <c r="AI730" s="81"/>
      <c r="AJ730" s="81"/>
      <c r="AK730" s="81"/>
      <c r="AL730" s="81"/>
      <c r="AM730" s="81"/>
    </row>
    <row collapsed="false" customFormat="false" customHeight="true" hidden="false" ht="16.2" outlineLevel="0" r="731">
      <c r="A731" s="80" t="n">
        <v>379</v>
      </c>
      <c r="B731" s="81"/>
      <c r="C731" s="82" t="s">
        <v>1033</v>
      </c>
      <c r="D731" s="85"/>
      <c r="E731" s="83" t="s">
        <v>1035</v>
      </c>
      <c r="F731" s="49" t="s">
        <v>1036</v>
      </c>
      <c r="G731" s="85"/>
      <c r="H731" s="85"/>
      <c r="I731" s="85"/>
      <c r="J731" s="85"/>
      <c r="K731" s="85"/>
      <c r="L731" s="85"/>
      <c r="M731" s="81"/>
      <c r="N731" s="81"/>
      <c r="O731" s="96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  <c r="AC731" s="81"/>
      <c r="AD731" s="81"/>
      <c r="AE731" s="81"/>
      <c r="AF731" s="81"/>
      <c r="AG731" s="81"/>
      <c r="AH731" s="81"/>
      <c r="AI731" s="81"/>
      <c r="AJ731" s="81"/>
      <c r="AK731" s="81"/>
      <c r="AL731" s="81"/>
      <c r="AM731" s="81"/>
    </row>
    <row collapsed="false" customFormat="false" customHeight="true" hidden="false" ht="16.2" outlineLevel="0" r="732">
      <c r="A732" s="80"/>
      <c r="B732" s="81" t="s">
        <v>556</v>
      </c>
      <c r="C732" s="85"/>
      <c r="D732" s="85" t="s">
        <v>1054</v>
      </c>
      <c r="E732" s="83" t="s">
        <v>1037</v>
      </c>
      <c r="F732" s="49" t="s">
        <v>1036</v>
      </c>
      <c r="G732" s="85" t="s">
        <v>1039</v>
      </c>
      <c r="H732" s="85" t="n">
        <v>12</v>
      </c>
      <c r="I732" s="85" t="s">
        <v>1039</v>
      </c>
      <c r="J732" s="85" t="n">
        <v>3</v>
      </c>
      <c r="K732" s="85" t="s">
        <v>1041</v>
      </c>
      <c r="L732" s="85" t="s">
        <v>1041</v>
      </c>
      <c r="M732" s="81" t="n">
        <v>540</v>
      </c>
      <c r="N732" s="81"/>
      <c r="O732" s="96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  <c r="AC732" s="81"/>
      <c r="AD732" s="81"/>
      <c r="AE732" s="81"/>
      <c r="AF732" s="81"/>
      <c r="AG732" s="81"/>
      <c r="AH732" s="81"/>
      <c r="AI732" s="81"/>
      <c r="AJ732" s="81"/>
      <c r="AK732" s="81"/>
      <c r="AL732" s="81"/>
      <c r="AM732" s="81"/>
    </row>
    <row collapsed="false" customFormat="false" customHeight="true" hidden="false" ht="16.2" outlineLevel="0" r="733">
      <c r="A733" s="80" t="n">
        <v>380</v>
      </c>
      <c r="B733" s="81"/>
      <c r="C733" s="82" t="s">
        <v>1033</v>
      </c>
      <c r="D733" s="85"/>
      <c r="E733" s="83" t="s">
        <v>1035</v>
      </c>
      <c r="F733" s="49" t="s">
        <v>1036</v>
      </c>
      <c r="G733" s="85"/>
      <c r="H733" s="85"/>
      <c r="I733" s="85"/>
      <c r="J733" s="85"/>
      <c r="K733" s="85"/>
      <c r="L733" s="85"/>
      <c r="M733" s="81"/>
      <c r="N733" s="81"/>
      <c r="O733" s="96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  <c r="AC733" s="81"/>
      <c r="AD733" s="81"/>
      <c r="AE733" s="81"/>
      <c r="AF733" s="81"/>
      <c r="AG733" s="81"/>
      <c r="AH733" s="81"/>
      <c r="AI733" s="81"/>
      <c r="AJ733" s="81"/>
      <c r="AK733" s="81"/>
      <c r="AL733" s="81"/>
      <c r="AM733" s="81"/>
    </row>
    <row collapsed="false" customFormat="false" customHeight="true" hidden="false" ht="16.2" outlineLevel="0" r="734">
      <c r="A734" s="80"/>
      <c r="B734" s="81" t="s">
        <v>557</v>
      </c>
      <c r="C734" s="85"/>
      <c r="D734" s="85" t="s">
        <v>1054</v>
      </c>
      <c r="E734" s="83" t="s">
        <v>1037</v>
      </c>
      <c r="F734" s="49" t="s">
        <v>1036</v>
      </c>
      <c r="G734" s="85" t="s">
        <v>1042</v>
      </c>
      <c r="H734" s="85" t="n">
        <v>24</v>
      </c>
      <c r="I734" s="85" t="s">
        <v>1039</v>
      </c>
      <c r="J734" s="85" t="n">
        <v>5</v>
      </c>
      <c r="K734" s="85" t="s">
        <v>1041</v>
      </c>
      <c r="L734" s="85" t="s">
        <v>1041</v>
      </c>
      <c r="M734" s="81" t="n">
        <v>6324</v>
      </c>
      <c r="N734" s="81"/>
      <c r="O734" s="96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  <c r="AC734" s="81"/>
      <c r="AD734" s="81"/>
      <c r="AE734" s="81"/>
      <c r="AF734" s="81"/>
      <c r="AG734" s="81"/>
      <c r="AH734" s="81"/>
      <c r="AI734" s="81"/>
      <c r="AJ734" s="81"/>
      <c r="AK734" s="81"/>
      <c r="AL734" s="81"/>
      <c r="AM734" s="81"/>
    </row>
    <row collapsed="false" customFormat="false" customHeight="true" hidden="false" ht="16.2" outlineLevel="0" r="735">
      <c r="A735" s="80" t="n">
        <v>381</v>
      </c>
      <c r="B735" s="81"/>
      <c r="C735" s="82" t="s">
        <v>1033</v>
      </c>
      <c r="D735" s="85"/>
      <c r="E735" s="83" t="s">
        <v>1035</v>
      </c>
      <c r="F735" s="49" t="s">
        <v>1036</v>
      </c>
      <c r="G735" s="85"/>
      <c r="H735" s="85"/>
      <c r="I735" s="85"/>
      <c r="J735" s="85"/>
      <c r="K735" s="85"/>
      <c r="L735" s="85"/>
      <c r="M735" s="81"/>
      <c r="N735" s="81"/>
      <c r="O735" s="96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  <c r="AC735" s="81"/>
      <c r="AD735" s="81"/>
      <c r="AE735" s="81"/>
      <c r="AF735" s="81"/>
      <c r="AG735" s="81"/>
      <c r="AH735" s="81"/>
      <c r="AI735" s="81"/>
      <c r="AJ735" s="81"/>
      <c r="AK735" s="81"/>
      <c r="AL735" s="81"/>
      <c r="AM735" s="81"/>
    </row>
    <row collapsed="false" customFormat="false" customHeight="true" hidden="false" ht="16.2" outlineLevel="0" r="736">
      <c r="A736" s="80"/>
      <c r="B736" s="81" t="s">
        <v>558</v>
      </c>
      <c r="C736" s="85"/>
      <c r="D736" s="85" t="s">
        <v>1054</v>
      </c>
      <c r="E736" s="83" t="s">
        <v>1037</v>
      </c>
      <c r="F736" s="49" t="s">
        <v>1036</v>
      </c>
      <c r="G736" s="85" t="s">
        <v>1039</v>
      </c>
      <c r="H736" s="85" t="n">
        <v>12</v>
      </c>
      <c r="I736" s="85" t="s">
        <v>1039</v>
      </c>
      <c r="J736" s="85" t="n">
        <v>3</v>
      </c>
      <c r="K736" s="85" t="s">
        <v>1041</v>
      </c>
      <c r="L736" s="85" t="s">
        <v>1041</v>
      </c>
      <c r="M736" s="81" t="n">
        <v>3450</v>
      </c>
      <c r="N736" s="81"/>
      <c r="O736" s="96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  <c r="AC736" s="81"/>
      <c r="AD736" s="81"/>
      <c r="AE736" s="81"/>
      <c r="AF736" s="81"/>
      <c r="AG736" s="81"/>
      <c r="AH736" s="81"/>
      <c r="AI736" s="81"/>
      <c r="AJ736" s="81"/>
      <c r="AK736" s="81"/>
      <c r="AL736" s="81"/>
      <c r="AM736" s="81"/>
    </row>
    <row collapsed="false" customFormat="false" customHeight="true" hidden="false" ht="16.2" outlineLevel="0" r="737">
      <c r="A737" s="80" t="n">
        <v>382</v>
      </c>
      <c r="B737" s="81"/>
      <c r="C737" s="82" t="s">
        <v>1033</v>
      </c>
      <c r="D737" s="85"/>
      <c r="E737" s="83" t="s">
        <v>1035</v>
      </c>
      <c r="F737" s="49" t="s">
        <v>1036</v>
      </c>
      <c r="G737" s="85"/>
      <c r="H737" s="85"/>
      <c r="I737" s="85"/>
      <c r="J737" s="85"/>
      <c r="K737" s="85"/>
      <c r="L737" s="85"/>
      <c r="M737" s="81"/>
      <c r="N737" s="81"/>
      <c r="O737" s="96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  <c r="AC737" s="81"/>
      <c r="AD737" s="81"/>
      <c r="AE737" s="81"/>
      <c r="AF737" s="81"/>
      <c r="AG737" s="81"/>
      <c r="AH737" s="81"/>
      <c r="AI737" s="81"/>
      <c r="AJ737" s="81"/>
      <c r="AK737" s="81"/>
      <c r="AL737" s="81"/>
      <c r="AM737" s="81"/>
    </row>
    <row collapsed="false" customFormat="false" customHeight="true" hidden="false" ht="16.2" outlineLevel="0" r="738">
      <c r="A738" s="80"/>
      <c r="B738" s="81" t="s">
        <v>559</v>
      </c>
      <c r="C738" s="85"/>
      <c r="D738" s="85" t="s">
        <v>1054</v>
      </c>
      <c r="E738" s="83" t="s">
        <v>1037</v>
      </c>
      <c r="F738" s="49" t="s">
        <v>1036</v>
      </c>
      <c r="G738" s="85" t="s">
        <v>1042</v>
      </c>
      <c r="H738" s="85" t="n">
        <v>25</v>
      </c>
      <c r="I738" s="85" t="s">
        <v>1039</v>
      </c>
      <c r="J738" s="85" t="n">
        <v>5</v>
      </c>
      <c r="K738" s="85" t="s">
        <v>1041</v>
      </c>
      <c r="L738" s="85" t="s">
        <v>1041</v>
      </c>
      <c r="M738" s="81" t="n">
        <v>7314</v>
      </c>
      <c r="N738" s="81"/>
      <c r="O738" s="96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  <c r="AC738" s="81"/>
      <c r="AD738" s="81"/>
      <c r="AE738" s="81"/>
      <c r="AF738" s="81"/>
      <c r="AG738" s="81"/>
      <c r="AH738" s="81"/>
      <c r="AI738" s="81"/>
      <c r="AJ738" s="81"/>
      <c r="AK738" s="81"/>
      <c r="AL738" s="81"/>
      <c r="AM738" s="81"/>
    </row>
    <row collapsed="false" customFormat="false" customHeight="true" hidden="false" ht="16.2" outlineLevel="0" r="739">
      <c r="A739" s="80" t="n">
        <v>383</v>
      </c>
      <c r="B739" s="81"/>
      <c r="C739" s="82" t="s">
        <v>1033</v>
      </c>
      <c r="D739" s="85"/>
      <c r="E739" s="83" t="s">
        <v>1035</v>
      </c>
      <c r="F739" s="49" t="s">
        <v>1036</v>
      </c>
      <c r="G739" s="85"/>
      <c r="H739" s="85"/>
      <c r="I739" s="85"/>
      <c r="J739" s="85"/>
      <c r="K739" s="85"/>
      <c r="L739" s="85"/>
      <c r="M739" s="81"/>
      <c r="N739" s="81"/>
      <c r="O739" s="96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  <c r="AC739" s="81"/>
      <c r="AD739" s="81"/>
      <c r="AE739" s="81"/>
      <c r="AF739" s="81"/>
      <c r="AG739" s="81"/>
      <c r="AH739" s="81"/>
      <c r="AI739" s="81"/>
      <c r="AJ739" s="81"/>
      <c r="AK739" s="81"/>
      <c r="AL739" s="81"/>
      <c r="AM739" s="81"/>
    </row>
    <row collapsed="false" customFormat="false" customHeight="true" hidden="false" ht="16.2" outlineLevel="0" r="740">
      <c r="A740" s="80"/>
      <c r="B740" s="81" t="s">
        <v>560</v>
      </c>
      <c r="C740" s="85"/>
      <c r="D740" s="85" t="s">
        <v>1054</v>
      </c>
      <c r="E740" s="83" t="s">
        <v>1037</v>
      </c>
      <c r="F740" s="49" t="s">
        <v>1036</v>
      </c>
      <c r="G740" s="85" t="s">
        <v>1039</v>
      </c>
      <c r="H740" s="85" t="n">
        <v>8</v>
      </c>
      <c r="I740" s="85" t="s">
        <v>1039</v>
      </c>
      <c r="J740" s="85" t="n">
        <v>2</v>
      </c>
      <c r="K740" s="85" t="s">
        <v>1041</v>
      </c>
      <c r="L740" s="85" t="s">
        <v>1041</v>
      </c>
      <c r="M740" s="81" t="n">
        <v>2178</v>
      </c>
      <c r="N740" s="81"/>
      <c r="O740" s="96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  <c r="AC740" s="81"/>
      <c r="AD740" s="81"/>
      <c r="AE740" s="81"/>
      <c r="AF740" s="81"/>
      <c r="AG740" s="81"/>
      <c r="AH740" s="81"/>
      <c r="AI740" s="81"/>
      <c r="AJ740" s="81"/>
      <c r="AK740" s="81"/>
      <c r="AL740" s="81"/>
      <c r="AM740" s="81"/>
    </row>
    <row collapsed="false" customFormat="false" customHeight="true" hidden="false" ht="16.2" outlineLevel="0" r="741">
      <c r="A741" s="80" t="n">
        <v>384</v>
      </c>
      <c r="B741" s="81"/>
      <c r="C741" s="82" t="s">
        <v>1033</v>
      </c>
      <c r="D741" s="85"/>
      <c r="E741" s="83" t="s">
        <v>1035</v>
      </c>
      <c r="F741" s="49" t="s">
        <v>1036</v>
      </c>
      <c r="G741" s="85"/>
      <c r="H741" s="85"/>
      <c r="I741" s="85"/>
      <c r="J741" s="85"/>
      <c r="K741" s="85"/>
      <c r="L741" s="85"/>
      <c r="M741" s="81"/>
      <c r="N741" s="81"/>
      <c r="O741" s="96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  <c r="AC741" s="81"/>
      <c r="AD741" s="81"/>
      <c r="AE741" s="81"/>
      <c r="AF741" s="81"/>
      <c r="AG741" s="81"/>
      <c r="AH741" s="81"/>
      <c r="AI741" s="81"/>
      <c r="AJ741" s="81"/>
      <c r="AK741" s="81"/>
      <c r="AL741" s="81"/>
      <c r="AM741" s="81"/>
    </row>
    <row collapsed="false" customFormat="false" customHeight="true" hidden="false" ht="16.2" outlineLevel="0" r="742">
      <c r="A742" s="80"/>
      <c r="B742" s="81" t="s">
        <v>561</v>
      </c>
      <c r="C742" s="85"/>
      <c r="D742" s="85" t="s">
        <v>1054</v>
      </c>
      <c r="E742" s="83" t="s">
        <v>1037</v>
      </c>
      <c r="F742" s="49" t="s">
        <v>1036</v>
      </c>
      <c r="G742" s="85" t="s">
        <v>1039</v>
      </c>
      <c r="H742" s="85" t="n">
        <v>12</v>
      </c>
      <c r="I742" s="85" t="s">
        <v>1039</v>
      </c>
      <c r="J742" s="85" t="n">
        <v>3</v>
      </c>
      <c r="K742" s="85" t="s">
        <v>1041</v>
      </c>
      <c r="L742" s="85" t="s">
        <v>1041</v>
      </c>
      <c r="M742" s="81" t="n">
        <v>2772</v>
      </c>
      <c r="N742" s="81"/>
      <c r="O742" s="96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  <c r="AC742" s="81"/>
      <c r="AD742" s="81"/>
      <c r="AE742" s="81"/>
      <c r="AF742" s="81"/>
      <c r="AG742" s="81"/>
      <c r="AH742" s="81"/>
      <c r="AI742" s="81"/>
      <c r="AJ742" s="81"/>
      <c r="AK742" s="81"/>
      <c r="AL742" s="81"/>
      <c r="AM742" s="81"/>
    </row>
    <row collapsed="false" customFormat="false" customHeight="true" hidden="false" ht="16.2" outlineLevel="0" r="743">
      <c r="A743" s="80" t="n">
        <v>385</v>
      </c>
      <c r="B743" s="81"/>
      <c r="C743" s="82" t="s">
        <v>1033</v>
      </c>
      <c r="D743" s="85"/>
      <c r="E743" s="83" t="s">
        <v>1035</v>
      </c>
      <c r="F743" s="49" t="s">
        <v>1036</v>
      </c>
      <c r="G743" s="85"/>
      <c r="H743" s="85"/>
      <c r="I743" s="85"/>
      <c r="J743" s="85"/>
      <c r="K743" s="85"/>
      <c r="L743" s="85"/>
      <c r="M743" s="81"/>
      <c r="N743" s="81"/>
      <c r="O743" s="96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  <c r="AC743" s="81"/>
      <c r="AD743" s="81"/>
      <c r="AE743" s="81"/>
      <c r="AF743" s="81"/>
      <c r="AG743" s="81"/>
      <c r="AH743" s="81"/>
      <c r="AI743" s="81"/>
      <c r="AJ743" s="81"/>
      <c r="AK743" s="81"/>
      <c r="AL743" s="81"/>
      <c r="AM743" s="81"/>
    </row>
    <row collapsed="false" customFormat="false" customHeight="true" hidden="false" ht="16.2" outlineLevel="0" r="744">
      <c r="A744" s="80"/>
      <c r="B744" s="81" t="s">
        <v>562</v>
      </c>
      <c r="C744" s="85"/>
      <c r="D744" s="85" t="s">
        <v>1054</v>
      </c>
      <c r="E744" s="83" t="s">
        <v>1037</v>
      </c>
      <c r="F744" s="49" t="s">
        <v>1036</v>
      </c>
      <c r="G744" s="85" t="s">
        <v>1039</v>
      </c>
      <c r="H744" s="85" t="n">
        <v>30</v>
      </c>
      <c r="I744" s="85" t="s">
        <v>1039</v>
      </c>
      <c r="J744" s="85" t="n">
        <v>5</v>
      </c>
      <c r="K744" s="85" t="s">
        <v>1041</v>
      </c>
      <c r="L744" s="85" t="s">
        <v>1041</v>
      </c>
      <c r="M744" s="81" t="n">
        <v>2100</v>
      </c>
      <c r="N744" s="81"/>
      <c r="O744" s="96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  <c r="AC744" s="81"/>
      <c r="AD744" s="81"/>
      <c r="AE744" s="81"/>
      <c r="AF744" s="81"/>
      <c r="AG744" s="81"/>
      <c r="AH744" s="81"/>
      <c r="AI744" s="81"/>
      <c r="AJ744" s="81"/>
      <c r="AK744" s="81"/>
      <c r="AL744" s="81"/>
      <c r="AM744" s="81"/>
    </row>
    <row collapsed="false" customFormat="false" customHeight="true" hidden="false" ht="16.2" outlineLevel="0" r="745">
      <c r="A745" s="80" t="n">
        <v>386</v>
      </c>
      <c r="B745" s="81"/>
      <c r="C745" s="82" t="s">
        <v>1033</v>
      </c>
      <c r="D745" s="85"/>
      <c r="E745" s="83" t="s">
        <v>1035</v>
      </c>
      <c r="F745" s="49" t="s">
        <v>1036</v>
      </c>
      <c r="G745" s="85"/>
      <c r="H745" s="85"/>
      <c r="I745" s="85"/>
      <c r="J745" s="85"/>
      <c r="K745" s="85"/>
      <c r="L745" s="85"/>
      <c r="M745" s="81"/>
      <c r="N745" s="81"/>
      <c r="O745" s="96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  <c r="AC745" s="81"/>
      <c r="AD745" s="81"/>
      <c r="AE745" s="81"/>
      <c r="AF745" s="81"/>
      <c r="AG745" s="81"/>
      <c r="AH745" s="81"/>
      <c r="AI745" s="81"/>
      <c r="AJ745" s="81"/>
      <c r="AK745" s="81"/>
      <c r="AL745" s="81"/>
      <c r="AM745" s="81"/>
    </row>
    <row collapsed="false" customFormat="false" customHeight="true" hidden="false" ht="16.2" outlineLevel="0" r="746">
      <c r="A746" s="80"/>
      <c r="B746" s="81" t="s">
        <v>563</v>
      </c>
      <c r="C746" s="85"/>
      <c r="D746" s="85" t="s">
        <v>1054</v>
      </c>
      <c r="E746" s="83" t="s">
        <v>1037</v>
      </c>
      <c r="F746" s="49" t="s">
        <v>1036</v>
      </c>
      <c r="G746" s="85" t="s">
        <v>1039</v>
      </c>
      <c r="H746" s="85" t="n">
        <v>15</v>
      </c>
      <c r="I746" s="85" t="s">
        <v>1039</v>
      </c>
      <c r="J746" s="85" t="n">
        <v>3</v>
      </c>
      <c r="K746" s="85" t="s">
        <v>1041</v>
      </c>
      <c r="L746" s="85" t="s">
        <v>1041</v>
      </c>
      <c r="M746" s="81" t="n">
        <v>3138</v>
      </c>
      <c r="N746" s="81"/>
      <c r="O746" s="96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  <c r="AC746" s="81"/>
      <c r="AD746" s="81"/>
      <c r="AE746" s="81"/>
      <c r="AF746" s="81"/>
      <c r="AG746" s="81"/>
      <c r="AH746" s="81"/>
      <c r="AI746" s="81"/>
      <c r="AJ746" s="81"/>
      <c r="AK746" s="81"/>
      <c r="AL746" s="81"/>
      <c r="AM746" s="81"/>
    </row>
    <row collapsed="false" customFormat="false" customHeight="true" hidden="false" ht="16.2" outlineLevel="0" r="747">
      <c r="A747" s="80" t="n">
        <v>387</v>
      </c>
      <c r="B747" s="81"/>
      <c r="C747" s="82" t="s">
        <v>1033</v>
      </c>
      <c r="D747" s="85"/>
      <c r="E747" s="83" t="s">
        <v>1035</v>
      </c>
      <c r="F747" s="49" t="s">
        <v>1036</v>
      </c>
      <c r="G747" s="85"/>
      <c r="H747" s="85"/>
      <c r="I747" s="85"/>
      <c r="J747" s="85"/>
      <c r="K747" s="85"/>
      <c r="L747" s="85"/>
      <c r="M747" s="81"/>
      <c r="N747" s="81"/>
      <c r="O747" s="96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  <c r="AC747" s="81"/>
      <c r="AD747" s="81"/>
      <c r="AE747" s="81"/>
      <c r="AF747" s="81"/>
      <c r="AG747" s="81"/>
      <c r="AH747" s="81"/>
      <c r="AI747" s="81"/>
      <c r="AJ747" s="81"/>
      <c r="AK747" s="81"/>
      <c r="AL747" s="81"/>
      <c r="AM747" s="81"/>
    </row>
    <row collapsed="false" customFormat="false" customHeight="true" hidden="false" ht="16.2" outlineLevel="0" r="748">
      <c r="A748" s="80"/>
      <c r="B748" s="81" t="s">
        <v>564</v>
      </c>
      <c r="C748" s="85"/>
      <c r="D748" s="85" t="s">
        <v>1054</v>
      </c>
      <c r="E748" s="83" t="s">
        <v>1037</v>
      </c>
      <c r="F748" s="49" t="s">
        <v>1036</v>
      </c>
      <c r="G748" s="85" t="s">
        <v>1039</v>
      </c>
      <c r="H748" s="85" t="n">
        <v>12</v>
      </c>
      <c r="I748" s="85" t="s">
        <v>1039</v>
      </c>
      <c r="J748" s="85" t="n">
        <v>3</v>
      </c>
      <c r="K748" s="85" t="s">
        <v>1041</v>
      </c>
      <c r="L748" s="85" t="s">
        <v>1041</v>
      </c>
      <c r="M748" s="81" t="n">
        <v>1902</v>
      </c>
      <c r="N748" s="81"/>
      <c r="O748" s="96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  <c r="AC748" s="81"/>
      <c r="AD748" s="81"/>
      <c r="AE748" s="81"/>
      <c r="AF748" s="81"/>
      <c r="AG748" s="81"/>
      <c r="AH748" s="81"/>
      <c r="AI748" s="81"/>
      <c r="AJ748" s="81"/>
      <c r="AK748" s="81"/>
      <c r="AL748" s="81"/>
      <c r="AM748" s="81"/>
    </row>
    <row collapsed="false" customFormat="false" customHeight="true" hidden="false" ht="16.2" outlineLevel="0" r="749">
      <c r="A749" s="80" t="n">
        <v>388</v>
      </c>
      <c r="B749" s="81"/>
      <c r="C749" s="82" t="s">
        <v>1033</v>
      </c>
      <c r="D749" s="85"/>
      <c r="E749" s="83" t="s">
        <v>1035</v>
      </c>
      <c r="F749" s="49" t="s">
        <v>1036</v>
      </c>
      <c r="G749" s="85"/>
      <c r="H749" s="85"/>
      <c r="I749" s="85"/>
      <c r="J749" s="85"/>
      <c r="K749" s="85"/>
      <c r="L749" s="85"/>
      <c r="M749" s="81"/>
      <c r="N749" s="81"/>
      <c r="O749" s="96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  <c r="AC749" s="81"/>
      <c r="AD749" s="81"/>
      <c r="AE749" s="81"/>
      <c r="AF749" s="81"/>
      <c r="AG749" s="81"/>
      <c r="AH749" s="81"/>
      <c r="AI749" s="81"/>
      <c r="AJ749" s="81"/>
      <c r="AK749" s="81"/>
      <c r="AL749" s="81"/>
      <c r="AM749" s="81"/>
    </row>
    <row collapsed="false" customFormat="false" customHeight="true" hidden="false" ht="16.2" outlineLevel="0" r="750">
      <c r="A750" s="80"/>
      <c r="B750" s="81" t="s">
        <v>565</v>
      </c>
      <c r="C750" s="85"/>
      <c r="D750" s="85" t="s">
        <v>1054</v>
      </c>
      <c r="E750" s="83" t="s">
        <v>1037</v>
      </c>
      <c r="F750" s="49" t="s">
        <v>1036</v>
      </c>
      <c r="G750" s="85" t="s">
        <v>1039</v>
      </c>
      <c r="H750" s="85" t="n">
        <v>8</v>
      </c>
      <c r="I750" s="85" t="s">
        <v>1039</v>
      </c>
      <c r="J750" s="85" t="n">
        <v>2</v>
      </c>
      <c r="K750" s="85" t="s">
        <v>1041</v>
      </c>
      <c r="L750" s="85" t="s">
        <v>1041</v>
      </c>
      <c r="M750" s="81" t="n">
        <v>5640</v>
      </c>
      <c r="N750" s="81"/>
      <c r="O750" s="96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  <c r="AC750" s="81"/>
      <c r="AD750" s="81"/>
      <c r="AE750" s="81"/>
      <c r="AF750" s="81"/>
      <c r="AG750" s="81"/>
      <c r="AH750" s="81"/>
      <c r="AI750" s="81"/>
      <c r="AJ750" s="81"/>
      <c r="AK750" s="81"/>
      <c r="AL750" s="81"/>
      <c r="AM750" s="81"/>
    </row>
    <row collapsed="false" customFormat="false" customHeight="true" hidden="false" ht="16.2" outlineLevel="0" r="751">
      <c r="A751" s="80" t="n">
        <v>389</v>
      </c>
      <c r="B751" s="81"/>
      <c r="C751" s="82" t="s">
        <v>1033</v>
      </c>
      <c r="D751" s="85"/>
      <c r="E751" s="83" t="s">
        <v>1035</v>
      </c>
      <c r="F751" s="49" t="s">
        <v>1036</v>
      </c>
      <c r="G751" s="85"/>
      <c r="H751" s="85"/>
      <c r="I751" s="85"/>
      <c r="J751" s="85"/>
      <c r="K751" s="85"/>
      <c r="L751" s="85"/>
      <c r="M751" s="81"/>
      <c r="N751" s="81"/>
      <c r="O751" s="96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  <c r="AC751" s="81"/>
      <c r="AD751" s="81"/>
      <c r="AE751" s="81"/>
      <c r="AF751" s="81"/>
      <c r="AG751" s="81"/>
      <c r="AH751" s="81"/>
      <c r="AI751" s="81"/>
      <c r="AJ751" s="81"/>
      <c r="AK751" s="81"/>
      <c r="AL751" s="81"/>
      <c r="AM751" s="81"/>
    </row>
    <row collapsed="false" customFormat="false" customHeight="true" hidden="false" ht="16.2" outlineLevel="0" r="752">
      <c r="A752" s="80"/>
      <c r="B752" s="81" t="s">
        <v>566</v>
      </c>
      <c r="C752" s="85"/>
      <c r="D752" s="85" t="s">
        <v>1054</v>
      </c>
      <c r="E752" s="83" t="s">
        <v>1037</v>
      </c>
      <c r="F752" s="49" t="s">
        <v>1036</v>
      </c>
      <c r="G752" s="85" t="s">
        <v>1039</v>
      </c>
      <c r="H752" s="85" t="n">
        <v>12</v>
      </c>
      <c r="I752" s="85" t="s">
        <v>1039</v>
      </c>
      <c r="J752" s="85" t="n">
        <v>3</v>
      </c>
      <c r="K752" s="85" t="s">
        <v>1041</v>
      </c>
      <c r="L752" s="85" t="s">
        <v>1041</v>
      </c>
      <c r="M752" s="81" t="n">
        <v>5394</v>
      </c>
      <c r="N752" s="81"/>
      <c r="O752" s="96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  <c r="AC752" s="81"/>
      <c r="AD752" s="81"/>
      <c r="AE752" s="81"/>
      <c r="AF752" s="81"/>
      <c r="AG752" s="81"/>
      <c r="AH752" s="81"/>
      <c r="AI752" s="81"/>
      <c r="AJ752" s="81"/>
      <c r="AK752" s="81"/>
      <c r="AL752" s="81"/>
      <c r="AM752" s="81"/>
    </row>
    <row collapsed="false" customFormat="false" customHeight="true" hidden="false" ht="16.2" outlineLevel="0" r="753">
      <c r="A753" s="80" t="n">
        <v>390</v>
      </c>
      <c r="B753" s="81"/>
      <c r="C753" s="82" t="s">
        <v>1033</v>
      </c>
      <c r="D753" s="85"/>
      <c r="E753" s="83" t="s">
        <v>1035</v>
      </c>
      <c r="F753" s="49" t="s">
        <v>1036</v>
      </c>
      <c r="G753" s="85"/>
      <c r="H753" s="85"/>
      <c r="I753" s="85"/>
      <c r="J753" s="85"/>
      <c r="K753" s="85"/>
      <c r="L753" s="85"/>
      <c r="M753" s="81"/>
      <c r="N753" s="81"/>
      <c r="O753" s="96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  <c r="AC753" s="81"/>
      <c r="AD753" s="81"/>
      <c r="AE753" s="81"/>
      <c r="AF753" s="81"/>
      <c r="AG753" s="81"/>
      <c r="AH753" s="81"/>
      <c r="AI753" s="81"/>
      <c r="AJ753" s="81"/>
      <c r="AK753" s="81"/>
      <c r="AL753" s="81"/>
      <c r="AM753" s="81"/>
    </row>
    <row collapsed="false" customFormat="false" customHeight="true" hidden="false" ht="16.2" outlineLevel="0" r="754">
      <c r="A754" s="80"/>
      <c r="B754" s="81" t="s">
        <v>567</v>
      </c>
      <c r="C754" s="85"/>
      <c r="D754" s="85" t="s">
        <v>1054</v>
      </c>
      <c r="E754" s="83" t="s">
        <v>1037</v>
      </c>
      <c r="F754" s="49" t="s">
        <v>1036</v>
      </c>
      <c r="G754" s="85" t="s">
        <v>1039</v>
      </c>
      <c r="H754" s="85" t="n">
        <v>12</v>
      </c>
      <c r="I754" s="85" t="s">
        <v>1039</v>
      </c>
      <c r="J754" s="85" t="n">
        <v>3</v>
      </c>
      <c r="K754" s="85" t="s">
        <v>1041</v>
      </c>
      <c r="L754" s="85" t="s">
        <v>1041</v>
      </c>
      <c r="M754" s="81" t="n">
        <v>2568</v>
      </c>
      <c r="N754" s="81"/>
      <c r="O754" s="96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  <c r="AC754" s="81"/>
      <c r="AD754" s="81"/>
      <c r="AE754" s="81"/>
      <c r="AF754" s="81"/>
      <c r="AG754" s="81"/>
      <c r="AH754" s="81"/>
      <c r="AI754" s="81"/>
      <c r="AJ754" s="81"/>
      <c r="AK754" s="81"/>
      <c r="AL754" s="81"/>
      <c r="AM754" s="81"/>
    </row>
    <row collapsed="false" customFormat="false" customHeight="true" hidden="false" ht="16.2" outlineLevel="0" r="755">
      <c r="A755" s="80" t="n">
        <v>391</v>
      </c>
      <c r="B755" s="81"/>
      <c r="C755" s="82" t="s">
        <v>1033</v>
      </c>
      <c r="D755" s="85"/>
      <c r="E755" s="83" t="s">
        <v>1035</v>
      </c>
      <c r="F755" s="49" t="s">
        <v>1036</v>
      </c>
      <c r="G755" s="85"/>
      <c r="H755" s="85"/>
      <c r="I755" s="85"/>
      <c r="J755" s="85"/>
      <c r="K755" s="85"/>
      <c r="L755" s="85"/>
      <c r="M755" s="81"/>
      <c r="N755" s="81"/>
      <c r="O755" s="96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  <c r="AC755" s="81"/>
      <c r="AD755" s="81"/>
      <c r="AE755" s="81"/>
      <c r="AF755" s="81"/>
      <c r="AG755" s="81"/>
      <c r="AH755" s="81"/>
      <c r="AI755" s="81"/>
      <c r="AJ755" s="81"/>
      <c r="AK755" s="81"/>
      <c r="AL755" s="81"/>
      <c r="AM755" s="81"/>
    </row>
    <row collapsed="false" customFormat="false" customHeight="true" hidden="false" ht="16.2" outlineLevel="0" r="756">
      <c r="A756" s="80"/>
      <c r="B756" s="81" t="s">
        <v>568</v>
      </c>
      <c r="C756" s="85"/>
      <c r="D756" s="85" t="s">
        <v>1054</v>
      </c>
      <c r="E756" s="83" t="s">
        <v>1037</v>
      </c>
      <c r="F756" s="49" t="s">
        <v>1036</v>
      </c>
      <c r="G756" s="85" t="s">
        <v>1039</v>
      </c>
      <c r="H756" s="85" t="n">
        <v>8</v>
      </c>
      <c r="I756" s="85" t="s">
        <v>1039</v>
      </c>
      <c r="J756" s="85" t="n">
        <v>3</v>
      </c>
      <c r="K756" s="85" t="s">
        <v>1041</v>
      </c>
      <c r="L756" s="85" t="s">
        <v>1041</v>
      </c>
      <c r="M756" s="81" t="n">
        <v>876</v>
      </c>
      <c r="N756" s="81"/>
      <c r="O756" s="96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  <c r="AC756" s="81"/>
      <c r="AD756" s="81"/>
      <c r="AE756" s="81"/>
      <c r="AF756" s="81"/>
      <c r="AG756" s="81"/>
      <c r="AH756" s="81"/>
      <c r="AI756" s="81"/>
      <c r="AJ756" s="81"/>
      <c r="AK756" s="81"/>
      <c r="AL756" s="81"/>
      <c r="AM756" s="81"/>
    </row>
    <row collapsed="false" customFormat="false" customHeight="true" hidden="false" ht="16.2" outlineLevel="0" r="757">
      <c r="A757" s="80" t="n">
        <v>392</v>
      </c>
      <c r="B757" s="81"/>
      <c r="C757" s="82" t="s">
        <v>1033</v>
      </c>
      <c r="D757" s="85"/>
      <c r="E757" s="83" t="s">
        <v>1035</v>
      </c>
      <c r="F757" s="49" t="s">
        <v>1036</v>
      </c>
      <c r="G757" s="85"/>
      <c r="H757" s="85"/>
      <c r="I757" s="85"/>
      <c r="J757" s="85"/>
      <c r="K757" s="85"/>
      <c r="L757" s="85"/>
      <c r="M757" s="81"/>
      <c r="N757" s="81"/>
      <c r="O757" s="96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  <c r="AC757" s="81"/>
      <c r="AD757" s="81"/>
      <c r="AE757" s="81"/>
      <c r="AF757" s="81"/>
      <c r="AG757" s="81"/>
      <c r="AH757" s="81"/>
      <c r="AI757" s="81"/>
      <c r="AJ757" s="81"/>
      <c r="AK757" s="81"/>
      <c r="AL757" s="81"/>
      <c r="AM757" s="81"/>
    </row>
    <row collapsed="false" customFormat="false" customHeight="true" hidden="false" ht="16.2" outlineLevel="0" r="758">
      <c r="A758" s="80"/>
      <c r="B758" s="81" t="s">
        <v>570</v>
      </c>
      <c r="C758" s="85"/>
      <c r="D758" s="85" t="s">
        <v>1054</v>
      </c>
      <c r="E758" s="83" t="s">
        <v>1037</v>
      </c>
      <c r="F758" s="49" t="s">
        <v>1036</v>
      </c>
      <c r="G758" s="85" t="s">
        <v>1042</v>
      </c>
      <c r="H758" s="85" t="n">
        <v>24</v>
      </c>
      <c r="I758" s="85" t="s">
        <v>1050</v>
      </c>
      <c r="J758" s="85" t="n">
        <v>4</v>
      </c>
      <c r="K758" s="85" t="s">
        <v>1041</v>
      </c>
      <c r="L758" s="85" t="s">
        <v>1041</v>
      </c>
      <c r="M758" s="81" t="n">
        <v>8880</v>
      </c>
      <c r="N758" s="81"/>
      <c r="O758" s="96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  <c r="AC758" s="81"/>
      <c r="AD758" s="81"/>
      <c r="AE758" s="81"/>
      <c r="AF758" s="81"/>
      <c r="AG758" s="81"/>
      <c r="AH758" s="81"/>
      <c r="AI758" s="81"/>
      <c r="AJ758" s="81"/>
      <c r="AK758" s="81"/>
      <c r="AL758" s="81"/>
      <c r="AM758" s="81"/>
    </row>
    <row collapsed="false" customFormat="false" customHeight="true" hidden="false" ht="16.2" outlineLevel="0" r="759">
      <c r="A759" s="80" t="n">
        <v>393</v>
      </c>
      <c r="B759" s="81"/>
      <c r="C759" s="82" t="s">
        <v>1033</v>
      </c>
      <c r="D759" s="85"/>
      <c r="E759" s="83" t="s">
        <v>1035</v>
      </c>
      <c r="F759" s="49" t="s">
        <v>1036</v>
      </c>
      <c r="G759" s="85"/>
      <c r="H759" s="85"/>
      <c r="I759" s="85"/>
      <c r="J759" s="85"/>
      <c r="K759" s="85"/>
      <c r="L759" s="85"/>
      <c r="M759" s="81"/>
      <c r="N759" s="81"/>
      <c r="O759" s="96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  <c r="AC759" s="81"/>
      <c r="AD759" s="81"/>
      <c r="AE759" s="81"/>
      <c r="AF759" s="81"/>
      <c r="AG759" s="81"/>
      <c r="AH759" s="81"/>
      <c r="AI759" s="81"/>
      <c r="AJ759" s="81"/>
      <c r="AK759" s="81"/>
      <c r="AL759" s="81"/>
      <c r="AM759" s="81"/>
    </row>
    <row collapsed="false" customFormat="false" customHeight="true" hidden="false" ht="16.2" outlineLevel="0" r="760">
      <c r="A760" s="80"/>
      <c r="B760" s="81" t="s">
        <v>571</v>
      </c>
      <c r="C760" s="85"/>
      <c r="D760" s="85" t="s">
        <v>1054</v>
      </c>
      <c r="E760" s="83" t="s">
        <v>1037</v>
      </c>
      <c r="F760" s="49" t="s">
        <v>1036</v>
      </c>
      <c r="G760" s="85" t="s">
        <v>1042</v>
      </c>
      <c r="H760" s="85" t="n">
        <v>30</v>
      </c>
      <c r="I760" s="85" t="s">
        <v>1039</v>
      </c>
      <c r="J760" s="85" t="n">
        <v>5</v>
      </c>
      <c r="K760" s="85" t="s">
        <v>1041</v>
      </c>
      <c r="L760" s="85" t="s">
        <v>1041</v>
      </c>
      <c r="M760" s="81" t="n">
        <v>5442</v>
      </c>
      <c r="N760" s="81"/>
      <c r="O760" s="96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  <c r="AC760" s="81"/>
      <c r="AD760" s="81"/>
      <c r="AE760" s="81"/>
      <c r="AF760" s="81"/>
      <c r="AG760" s="81"/>
      <c r="AH760" s="81"/>
      <c r="AI760" s="81"/>
      <c r="AJ760" s="81"/>
      <c r="AK760" s="81"/>
      <c r="AL760" s="81"/>
      <c r="AM760" s="81"/>
    </row>
    <row collapsed="false" customFormat="false" customHeight="true" hidden="false" ht="16.2" outlineLevel="0" r="761">
      <c r="A761" s="80" t="n">
        <v>394</v>
      </c>
      <c r="B761" s="81"/>
      <c r="C761" s="82" t="s">
        <v>1033</v>
      </c>
      <c r="D761" s="85"/>
      <c r="E761" s="83" t="s">
        <v>1035</v>
      </c>
      <c r="F761" s="49" t="s">
        <v>1036</v>
      </c>
      <c r="G761" s="85"/>
      <c r="H761" s="85"/>
      <c r="I761" s="85"/>
      <c r="J761" s="85"/>
      <c r="K761" s="85"/>
      <c r="L761" s="85"/>
      <c r="M761" s="81"/>
      <c r="N761" s="81"/>
      <c r="O761" s="96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  <c r="AC761" s="81"/>
      <c r="AD761" s="81"/>
      <c r="AE761" s="81"/>
      <c r="AF761" s="81"/>
      <c r="AG761" s="81"/>
      <c r="AH761" s="81"/>
      <c r="AI761" s="81"/>
      <c r="AJ761" s="81"/>
      <c r="AK761" s="81"/>
      <c r="AL761" s="81"/>
      <c r="AM761" s="81"/>
    </row>
    <row collapsed="false" customFormat="false" customHeight="true" hidden="false" ht="16.2" outlineLevel="0" r="762">
      <c r="A762" s="80"/>
      <c r="B762" s="81" t="s">
        <v>572</v>
      </c>
      <c r="C762" s="85"/>
      <c r="D762" s="85" t="s">
        <v>1054</v>
      </c>
      <c r="E762" s="83" t="s">
        <v>1037</v>
      </c>
      <c r="F762" s="49" t="s">
        <v>1036</v>
      </c>
      <c r="G762" s="85" t="s">
        <v>1042</v>
      </c>
      <c r="H762" s="85" t="n">
        <v>24</v>
      </c>
      <c r="I762" s="85" t="s">
        <v>1039</v>
      </c>
      <c r="J762" s="85" t="n">
        <v>5</v>
      </c>
      <c r="K762" s="85" t="s">
        <v>1041</v>
      </c>
      <c r="L762" s="85" t="s">
        <v>1041</v>
      </c>
      <c r="M762" s="81" t="n">
        <v>8880</v>
      </c>
      <c r="N762" s="81"/>
      <c r="O762" s="96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  <c r="AC762" s="81"/>
      <c r="AD762" s="81"/>
      <c r="AE762" s="81"/>
      <c r="AF762" s="81"/>
      <c r="AG762" s="81"/>
      <c r="AH762" s="81"/>
      <c r="AI762" s="81"/>
      <c r="AJ762" s="81"/>
      <c r="AK762" s="81"/>
      <c r="AL762" s="81"/>
      <c r="AM762" s="81"/>
    </row>
    <row collapsed="false" customFormat="false" customHeight="true" hidden="false" ht="16.2" outlineLevel="0" r="763">
      <c r="A763" s="80" t="n">
        <v>395</v>
      </c>
      <c r="B763" s="81"/>
      <c r="C763" s="82" t="s">
        <v>1033</v>
      </c>
      <c r="D763" s="85"/>
      <c r="E763" s="83" t="s">
        <v>1035</v>
      </c>
      <c r="F763" s="49" t="s">
        <v>1036</v>
      </c>
      <c r="G763" s="85"/>
      <c r="H763" s="85"/>
      <c r="I763" s="85"/>
      <c r="J763" s="85"/>
      <c r="K763" s="85"/>
      <c r="L763" s="85"/>
      <c r="M763" s="81"/>
      <c r="N763" s="81"/>
      <c r="O763" s="96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  <c r="AC763" s="81"/>
      <c r="AD763" s="81"/>
      <c r="AE763" s="81"/>
      <c r="AF763" s="81"/>
      <c r="AG763" s="81"/>
      <c r="AH763" s="81"/>
      <c r="AI763" s="81"/>
      <c r="AJ763" s="81"/>
      <c r="AK763" s="81"/>
      <c r="AL763" s="81"/>
      <c r="AM763" s="81"/>
    </row>
    <row collapsed="false" customFormat="false" customHeight="true" hidden="false" ht="16.2" outlineLevel="0" r="764">
      <c r="A764" s="80"/>
      <c r="B764" s="81" t="s">
        <v>573</v>
      </c>
      <c r="C764" s="85"/>
      <c r="D764" s="85" t="s">
        <v>1054</v>
      </c>
      <c r="E764" s="83" t="s">
        <v>1037</v>
      </c>
      <c r="F764" s="49" t="s">
        <v>1036</v>
      </c>
      <c r="G764" s="85" t="s">
        <v>1039</v>
      </c>
      <c r="H764" s="85" t="n">
        <v>5</v>
      </c>
      <c r="I764" s="85" t="s">
        <v>1039</v>
      </c>
      <c r="J764" s="85" t="n">
        <v>2</v>
      </c>
      <c r="K764" s="85" t="s">
        <v>1041</v>
      </c>
      <c r="L764" s="85" t="s">
        <v>1041</v>
      </c>
      <c r="M764" s="81" t="n">
        <v>3708</v>
      </c>
      <c r="N764" s="81"/>
      <c r="O764" s="96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  <c r="AC764" s="81"/>
      <c r="AD764" s="81"/>
      <c r="AE764" s="81"/>
      <c r="AF764" s="81"/>
      <c r="AG764" s="81"/>
      <c r="AH764" s="81"/>
      <c r="AI764" s="81"/>
      <c r="AJ764" s="81"/>
      <c r="AK764" s="81"/>
      <c r="AL764" s="81"/>
      <c r="AM764" s="81"/>
    </row>
    <row collapsed="false" customFormat="false" customHeight="true" hidden="false" ht="16.2" outlineLevel="0" r="765">
      <c r="A765" s="80" t="n">
        <v>396</v>
      </c>
      <c r="B765" s="81"/>
      <c r="C765" s="82" t="s">
        <v>1033</v>
      </c>
      <c r="D765" s="85"/>
      <c r="E765" s="83" t="s">
        <v>1035</v>
      </c>
      <c r="F765" s="49" t="s">
        <v>1036</v>
      </c>
      <c r="G765" s="85"/>
      <c r="H765" s="85"/>
      <c r="I765" s="85"/>
      <c r="J765" s="85"/>
      <c r="K765" s="85"/>
      <c r="L765" s="85"/>
      <c r="M765" s="81"/>
      <c r="N765" s="81"/>
      <c r="O765" s="96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  <c r="AC765" s="81"/>
      <c r="AD765" s="81"/>
      <c r="AE765" s="81"/>
      <c r="AF765" s="81"/>
      <c r="AG765" s="81"/>
      <c r="AH765" s="81"/>
      <c r="AI765" s="81"/>
      <c r="AJ765" s="81"/>
      <c r="AK765" s="81"/>
      <c r="AL765" s="81"/>
      <c r="AM765" s="81"/>
    </row>
    <row collapsed="false" customFormat="false" customHeight="true" hidden="false" ht="16.2" outlineLevel="0" r="766">
      <c r="A766" s="80"/>
      <c r="B766" s="81" t="s">
        <v>574</v>
      </c>
      <c r="C766" s="85"/>
      <c r="D766" s="85" t="s">
        <v>1054</v>
      </c>
      <c r="E766" s="83" t="s">
        <v>1037</v>
      </c>
      <c r="F766" s="49" t="s">
        <v>1036</v>
      </c>
      <c r="G766" s="85" t="s">
        <v>1039</v>
      </c>
      <c r="H766" s="85" t="n">
        <v>30</v>
      </c>
      <c r="I766" s="85" t="s">
        <v>1039</v>
      </c>
      <c r="J766" s="85" t="n">
        <v>6</v>
      </c>
      <c r="K766" s="85" t="s">
        <v>1041</v>
      </c>
      <c r="L766" s="85" t="s">
        <v>1041</v>
      </c>
      <c r="M766" s="81" t="n">
        <v>12222</v>
      </c>
      <c r="N766" s="81"/>
      <c r="O766" s="96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  <c r="AC766" s="81"/>
      <c r="AD766" s="81"/>
      <c r="AE766" s="81"/>
      <c r="AF766" s="81"/>
      <c r="AG766" s="81"/>
      <c r="AH766" s="81"/>
      <c r="AI766" s="81"/>
      <c r="AJ766" s="81"/>
      <c r="AK766" s="81"/>
      <c r="AL766" s="81"/>
      <c r="AM766" s="81"/>
    </row>
    <row collapsed="false" customFormat="false" customHeight="true" hidden="false" ht="16.2" outlineLevel="0" r="767">
      <c r="A767" s="80" t="n">
        <v>397</v>
      </c>
      <c r="B767" s="81"/>
      <c r="C767" s="82" t="s">
        <v>1033</v>
      </c>
      <c r="D767" s="85"/>
      <c r="E767" s="83" t="s">
        <v>1035</v>
      </c>
      <c r="F767" s="49" t="s">
        <v>1036</v>
      </c>
      <c r="G767" s="85"/>
      <c r="H767" s="85"/>
      <c r="I767" s="85"/>
      <c r="J767" s="85"/>
      <c r="K767" s="85"/>
      <c r="L767" s="85"/>
      <c r="M767" s="81"/>
      <c r="N767" s="81"/>
      <c r="O767" s="96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  <c r="AC767" s="81"/>
      <c r="AD767" s="81"/>
      <c r="AE767" s="81"/>
      <c r="AF767" s="81"/>
      <c r="AG767" s="81"/>
      <c r="AH767" s="81"/>
      <c r="AI767" s="81"/>
      <c r="AJ767" s="81"/>
      <c r="AK767" s="81"/>
      <c r="AL767" s="81"/>
      <c r="AM767" s="81"/>
    </row>
    <row collapsed="false" customFormat="false" customHeight="true" hidden="false" ht="16.2" outlineLevel="0" r="768">
      <c r="A768" s="80"/>
      <c r="B768" s="81" t="s">
        <v>575</v>
      </c>
      <c r="C768" s="85"/>
      <c r="D768" s="85" t="s">
        <v>1054</v>
      </c>
      <c r="E768" s="83" t="s">
        <v>1037</v>
      </c>
      <c r="F768" s="49" t="s">
        <v>1036</v>
      </c>
      <c r="G768" s="85" t="s">
        <v>1039</v>
      </c>
      <c r="H768" s="85" t="n">
        <v>24</v>
      </c>
      <c r="I768" s="85" t="s">
        <v>1039</v>
      </c>
      <c r="J768" s="85" t="n">
        <v>6</v>
      </c>
      <c r="K768" s="85" t="s">
        <v>1041</v>
      </c>
      <c r="L768" s="85" t="s">
        <v>1041</v>
      </c>
      <c r="M768" s="81" t="n">
        <v>2802</v>
      </c>
      <c r="N768" s="81"/>
      <c r="O768" s="96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  <c r="AC768" s="81"/>
      <c r="AD768" s="81"/>
      <c r="AE768" s="81"/>
      <c r="AF768" s="81"/>
      <c r="AG768" s="81"/>
      <c r="AH768" s="81"/>
      <c r="AI768" s="81"/>
      <c r="AJ768" s="81"/>
      <c r="AK768" s="81"/>
      <c r="AL768" s="81"/>
      <c r="AM768" s="81"/>
    </row>
    <row collapsed="false" customFormat="false" customHeight="true" hidden="false" ht="16.2" outlineLevel="0" r="769">
      <c r="A769" s="80" t="n">
        <v>398</v>
      </c>
      <c r="B769" s="81"/>
      <c r="C769" s="82" t="s">
        <v>1033</v>
      </c>
      <c r="D769" s="85"/>
      <c r="E769" s="83" t="s">
        <v>1035</v>
      </c>
      <c r="F769" s="49" t="s">
        <v>1036</v>
      </c>
      <c r="G769" s="85"/>
      <c r="H769" s="85"/>
      <c r="I769" s="85"/>
      <c r="J769" s="85"/>
      <c r="K769" s="85"/>
      <c r="L769" s="85"/>
      <c r="M769" s="81"/>
      <c r="N769" s="81"/>
      <c r="O769" s="96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  <c r="AC769" s="81"/>
      <c r="AD769" s="81"/>
      <c r="AE769" s="81"/>
      <c r="AF769" s="81"/>
      <c r="AG769" s="81"/>
      <c r="AH769" s="81"/>
      <c r="AI769" s="81"/>
      <c r="AJ769" s="81"/>
      <c r="AK769" s="81"/>
      <c r="AL769" s="81"/>
      <c r="AM769" s="81"/>
    </row>
    <row collapsed="false" customFormat="false" customHeight="true" hidden="false" ht="16.2" outlineLevel="0" r="770">
      <c r="A770" s="80"/>
      <c r="B770" s="81" t="s">
        <v>576</v>
      </c>
      <c r="C770" s="85"/>
      <c r="D770" s="85" t="s">
        <v>1054</v>
      </c>
      <c r="E770" s="83" t="s">
        <v>1037</v>
      </c>
      <c r="F770" s="49" t="s">
        <v>1036</v>
      </c>
      <c r="G770" s="85" t="s">
        <v>1039</v>
      </c>
      <c r="H770" s="85" t="n">
        <v>24</v>
      </c>
      <c r="I770" s="85" t="s">
        <v>1044</v>
      </c>
      <c r="J770" s="85" t="n">
        <v>4</v>
      </c>
      <c r="K770" s="85" t="s">
        <v>1041</v>
      </c>
      <c r="L770" s="85" t="s">
        <v>1041</v>
      </c>
      <c r="M770" s="81" t="n">
        <v>3588</v>
      </c>
      <c r="N770" s="81"/>
      <c r="O770" s="96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  <c r="AC770" s="81"/>
      <c r="AD770" s="81"/>
      <c r="AE770" s="81"/>
      <c r="AF770" s="81"/>
      <c r="AG770" s="81"/>
      <c r="AH770" s="81"/>
      <c r="AI770" s="81"/>
      <c r="AJ770" s="81"/>
      <c r="AK770" s="81"/>
      <c r="AL770" s="81"/>
      <c r="AM770" s="81"/>
    </row>
    <row collapsed="false" customFormat="false" customHeight="true" hidden="false" ht="16.2" outlineLevel="0" r="771">
      <c r="A771" s="80" t="n">
        <v>399</v>
      </c>
      <c r="B771" s="81"/>
      <c r="C771" s="82" t="s">
        <v>1033</v>
      </c>
      <c r="D771" s="85"/>
      <c r="E771" s="83" t="s">
        <v>1035</v>
      </c>
      <c r="F771" s="49" t="s">
        <v>1036</v>
      </c>
      <c r="G771" s="85"/>
      <c r="H771" s="85"/>
      <c r="I771" s="85"/>
      <c r="J771" s="85"/>
      <c r="K771" s="85"/>
      <c r="L771" s="85"/>
      <c r="M771" s="81"/>
      <c r="N771" s="81"/>
      <c r="O771" s="96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  <c r="AC771" s="81"/>
      <c r="AD771" s="81"/>
      <c r="AE771" s="81"/>
      <c r="AF771" s="81"/>
      <c r="AG771" s="81"/>
      <c r="AH771" s="81"/>
      <c r="AI771" s="81"/>
      <c r="AJ771" s="81"/>
      <c r="AK771" s="81"/>
      <c r="AL771" s="81"/>
      <c r="AM771" s="81"/>
    </row>
    <row collapsed="false" customFormat="false" customHeight="true" hidden="false" ht="16.2" outlineLevel="0" r="772">
      <c r="A772" s="80"/>
      <c r="B772" s="81" t="s">
        <v>577</v>
      </c>
      <c r="C772" s="85"/>
      <c r="D772" s="85" t="s">
        <v>1054</v>
      </c>
      <c r="E772" s="83" t="s">
        <v>1037</v>
      </c>
      <c r="F772" s="49" t="s">
        <v>1036</v>
      </c>
      <c r="G772" s="85" t="s">
        <v>1044</v>
      </c>
      <c r="H772" s="85" t="n">
        <v>36</v>
      </c>
      <c r="I772" s="85" t="s">
        <v>1044</v>
      </c>
      <c r="J772" s="85" t="n">
        <v>6</v>
      </c>
      <c r="K772" s="85" t="s">
        <v>1041</v>
      </c>
      <c r="L772" s="85" t="s">
        <v>1041</v>
      </c>
      <c r="M772" s="81" t="n">
        <v>3300</v>
      </c>
      <c r="N772" s="81"/>
      <c r="O772" s="96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  <c r="AC772" s="81"/>
      <c r="AD772" s="81"/>
      <c r="AE772" s="81"/>
      <c r="AF772" s="81"/>
      <c r="AG772" s="81"/>
      <c r="AH772" s="81"/>
      <c r="AI772" s="81"/>
      <c r="AJ772" s="81"/>
      <c r="AK772" s="81"/>
      <c r="AL772" s="81"/>
      <c r="AM772" s="81"/>
    </row>
    <row collapsed="false" customFormat="false" customHeight="true" hidden="false" ht="16.2" outlineLevel="0" r="773">
      <c r="A773" s="80" t="n">
        <v>400</v>
      </c>
      <c r="B773" s="81"/>
      <c r="C773" s="82" t="s">
        <v>1033</v>
      </c>
      <c r="D773" s="85"/>
      <c r="E773" s="83" t="s">
        <v>1035</v>
      </c>
      <c r="F773" s="49" t="s">
        <v>1036</v>
      </c>
      <c r="G773" s="85"/>
      <c r="H773" s="85"/>
      <c r="I773" s="85"/>
      <c r="J773" s="85"/>
      <c r="K773" s="85"/>
      <c r="L773" s="85"/>
      <c r="M773" s="81"/>
      <c r="N773" s="81"/>
      <c r="O773" s="96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  <c r="AC773" s="81"/>
      <c r="AD773" s="81"/>
      <c r="AE773" s="81"/>
      <c r="AF773" s="81"/>
      <c r="AG773" s="81"/>
      <c r="AH773" s="81"/>
      <c r="AI773" s="81"/>
      <c r="AJ773" s="81"/>
      <c r="AK773" s="81"/>
      <c r="AL773" s="81"/>
      <c r="AM773" s="81"/>
    </row>
    <row collapsed="false" customFormat="false" customHeight="true" hidden="false" ht="16.2" outlineLevel="0" r="774">
      <c r="A774" s="80"/>
      <c r="B774" s="81" t="s">
        <v>578</v>
      </c>
      <c r="C774" s="85"/>
      <c r="D774" s="85" t="s">
        <v>1054</v>
      </c>
      <c r="E774" s="83" t="s">
        <v>1037</v>
      </c>
      <c r="F774" s="49" t="s">
        <v>1036</v>
      </c>
      <c r="G774" s="85" t="s">
        <v>1044</v>
      </c>
      <c r="H774" s="85" t="n">
        <v>6</v>
      </c>
      <c r="I774" s="85" t="s">
        <v>1039</v>
      </c>
      <c r="J774" s="85" t="n">
        <v>2</v>
      </c>
      <c r="K774" s="85" t="s">
        <v>1041</v>
      </c>
      <c r="L774" s="85" t="s">
        <v>1041</v>
      </c>
      <c r="M774" s="81" t="n">
        <v>3564</v>
      </c>
      <c r="N774" s="81"/>
      <c r="O774" s="96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  <c r="AC774" s="81"/>
      <c r="AD774" s="81"/>
      <c r="AE774" s="81"/>
      <c r="AF774" s="81"/>
      <c r="AG774" s="81"/>
      <c r="AH774" s="81"/>
      <c r="AI774" s="81"/>
      <c r="AJ774" s="81"/>
      <c r="AK774" s="81"/>
      <c r="AL774" s="81"/>
      <c r="AM774" s="81"/>
    </row>
    <row collapsed="false" customFormat="false" customHeight="true" hidden="false" ht="16.2" outlineLevel="0" r="775">
      <c r="A775" s="80" t="n">
        <v>401</v>
      </c>
      <c r="B775" s="81"/>
      <c r="C775" s="82" t="s">
        <v>1033</v>
      </c>
      <c r="D775" s="85"/>
      <c r="E775" s="83" t="s">
        <v>1035</v>
      </c>
      <c r="F775" s="49" t="s">
        <v>1036</v>
      </c>
      <c r="G775" s="85"/>
      <c r="H775" s="85"/>
      <c r="I775" s="85"/>
      <c r="J775" s="85"/>
      <c r="K775" s="85"/>
      <c r="L775" s="85"/>
      <c r="M775" s="81"/>
      <c r="N775" s="81"/>
      <c r="O775" s="96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  <c r="AC775" s="81"/>
      <c r="AD775" s="81"/>
      <c r="AE775" s="81"/>
      <c r="AF775" s="81"/>
      <c r="AG775" s="81"/>
      <c r="AH775" s="81"/>
      <c r="AI775" s="81"/>
      <c r="AJ775" s="81"/>
      <c r="AK775" s="81"/>
      <c r="AL775" s="81"/>
      <c r="AM775" s="81"/>
    </row>
    <row collapsed="false" customFormat="false" customHeight="true" hidden="false" ht="16.2" outlineLevel="0" r="776">
      <c r="A776" s="80"/>
      <c r="B776" s="81" t="s">
        <v>579</v>
      </c>
      <c r="C776" s="85"/>
      <c r="D776" s="85" t="s">
        <v>1054</v>
      </c>
      <c r="E776" s="83" t="s">
        <v>1037</v>
      </c>
      <c r="F776" s="49" t="s">
        <v>1036</v>
      </c>
      <c r="G776" s="85" t="s">
        <v>1044</v>
      </c>
      <c r="H776" s="85" t="n">
        <v>12</v>
      </c>
      <c r="I776" s="85" t="s">
        <v>1044</v>
      </c>
      <c r="J776" s="85" t="n">
        <v>5</v>
      </c>
      <c r="K776" s="85" t="s">
        <v>1041</v>
      </c>
      <c r="L776" s="85" t="s">
        <v>1041</v>
      </c>
      <c r="M776" s="81" t="n">
        <v>9480</v>
      </c>
      <c r="N776" s="81"/>
      <c r="O776" s="96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  <c r="AC776" s="81"/>
      <c r="AD776" s="81"/>
      <c r="AE776" s="81"/>
      <c r="AF776" s="81"/>
      <c r="AG776" s="81"/>
      <c r="AH776" s="81"/>
      <c r="AI776" s="81"/>
      <c r="AJ776" s="81"/>
      <c r="AK776" s="81"/>
      <c r="AL776" s="81"/>
      <c r="AM776" s="81"/>
    </row>
    <row collapsed="false" customFormat="false" customHeight="true" hidden="false" ht="16.2" outlineLevel="0" r="777">
      <c r="A777" s="80" t="n">
        <v>402</v>
      </c>
      <c r="B777" s="81"/>
      <c r="C777" s="82" t="s">
        <v>1033</v>
      </c>
      <c r="D777" s="85"/>
      <c r="E777" s="83" t="s">
        <v>1035</v>
      </c>
      <c r="F777" s="49" t="s">
        <v>1036</v>
      </c>
      <c r="G777" s="85"/>
      <c r="H777" s="85"/>
      <c r="I777" s="85"/>
      <c r="J777" s="85"/>
      <c r="K777" s="85"/>
      <c r="L777" s="85"/>
      <c r="M777" s="81"/>
      <c r="N777" s="81"/>
      <c r="O777" s="96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  <c r="AC777" s="81"/>
      <c r="AD777" s="81"/>
      <c r="AE777" s="81"/>
      <c r="AF777" s="81"/>
      <c r="AG777" s="81"/>
      <c r="AH777" s="81"/>
      <c r="AI777" s="81"/>
      <c r="AJ777" s="81"/>
      <c r="AK777" s="81"/>
      <c r="AL777" s="81"/>
      <c r="AM777" s="81"/>
    </row>
    <row collapsed="false" customFormat="false" customHeight="true" hidden="false" ht="16.2" outlineLevel="0" r="778">
      <c r="A778" s="80"/>
      <c r="B778" s="81" t="s">
        <v>580</v>
      </c>
      <c r="C778" s="85"/>
      <c r="D778" s="85" t="s">
        <v>1054</v>
      </c>
      <c r="E778" s="83" t="s">
        <v>1037</v>
      </c>
      <c r="F778" s="49" t="s">
        <v>1036</v>
      </c>
      <c r="G778" s="85" t="s">
        <v>1039</v>
      </c>
      <c r="H778" s="85" t="n">
        <v>25</v>
      </c>
      <c r="I778" s="85" t="s">
        <v>1039</v>
      </c>
      <c r="J778" s="85" t="n">
        <v>5</v>
      </c>
      <c r="K778" s="85" t="s">
        <v>1041</v>
      </c>
      <c r="L778" s="85" t="s">
        <v>1041</v>
      </c>
      <c r="M778" s="81" t="n">
        <v>9588</v>
      </c>
      <c r="N778" s="81"/>
      <c r="O778" s="96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  <c r="AC778" s="81"/>
      <c r="AD778" s="81"/>
      <c r="AE778" s="81"/>
      <c r="AF778" s="81"/>
      <c r="AG778" s="81"/>
      <c r="AH778" s="81"/>
      <c r="AI778" s="81"/>
      <c r="AJ778" s="81"/>
      <c r="AK778" s="81"/>
      <c r="AL778" s="81"/>
      <c r="AM778" s="81"/>
    </row>
    <row collapsed="false" customFormat="false" customHeight="true" hidden="false" ht="16.2" outlineLevel="0" r="779">
      <c r="A779" s="80" t="n">
        <v>403</v>
      </c>
      <c r="B779" s="81"/>
      <c r="C779" s="82" t="s">
        <v>1033</v>
      </c>
      <c r="D779" s="85"/>
      <c r="E779" s="83" t="s">
        <v>1035</v>
      </c>
      <c r="F779" s="49" t="s">
        <v>1036</v>
      </c>
      <c r="G779" s="85"/>
      <c r="H779" s="85"/>
      <c r="I779" s="85"/>
      <c r="J779" s="85"/>
      <c r="K779" s="85"/>
      <c r="L779" s="85"/>
      <c r="M779" s="81"/>
      <c r="N779" s="81"/>
      <c r="O779" s="96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  <c r="AC779" s="81"/>
      <c r="AD779" s="81"/>
      <c r="AE779" s="81"/>
      <c r="AF779" s="81"/>
      <c r="AG779" s="81"/>
      <c r="AH779" s="81"/>
      <c r="AI779" s="81"/>
      <c r="AJ779" s="81"/>
      <c r="AK779" s="81"/>
      <c r="AL779" s="81"/>
      <c r="AM779" s="81"/>
    </row>
    <row collapsed="false" customFormat="false" customHeight="true" hidden="false" ht="16.2" outlineLevel="0" r="780">
      <c r="A780" s="80"/>
      <c r="B780" s="81" t="s">
        <v>581</v>
      </c>
      <c r="C780" s="85"/>
      <c r="D780" s="85" t="s">
        <v>1054</v>
      </c>
      <c r="E780" s="83" t="s">
        <v>1037</v>
      </c>
      <c r="F780" s="49" t="s">
        <v>1036</v>
      </c>
      <c r="G780" s="85" t="s">
        <v>1039</v>
      </c>
      <c r="H780" s="85" t="n">
        <v>24</v>
      </c>
      <c r="I780" s="85" t="s">
        <v>1039</v>
      </c>
      <c r="J780" s="85" t="n">
        <v>4</v>
      </c>
      <c r="K780" s="85" t="s">
        <v>1041</v>
      </c>
      <c r="L780" s="85" t="s">
        <v>1041</v>
      </c>
      <c r="M780" s="81" t="n">
        <v>6930</v>
      </c>
      <c r="N780" s="81"/>
      <c r="O780" s="96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  <c r="AC780" s="81"/>
      <c r="AD780" s="81"/>
      <c r="AE780" s="81"/>
      <c r="AF780" s="81"/>
      <c r="AG780" s="81"/>
      <c r="AH780" s="81"/>
      <c r="AI780" s="81"/>
      <c r="AJ780" s="81"/>
      <c r="AK780" s="81"/>
      <c r="AL780" s="81"/>
      <c r="AM780" s="81"/>
    </row>
    <row collapsed="false" customFormat="false" customHeight="true" hidden="false" ht="16.2" outlineLevel="0" r="781">
      <c r="A781" s="80" t="n">
        <v>404</v>
      </c>
      <c r="B781" s="81"/>
      <c r="C781" s="82" t="s">
        <v>1033</v>
      </c>
      <c r="D781" s="85"/>
      <c r="E781" s="83" t="s">
        <v>1035</v>
      </c>
      <c r="F781" s="49" t="s">
        <v>1036</v>
      </c>
      <c r="G781" s="85"/>
      <c r="H781" s="85"/>
      <c r="I781" s="85"/>
      <c r="J781" s="85"/>
      <c r="K781" s="85"/>
      <c r="L781" s="85"/>
      <c r="M781" s="81"/>
      <c r="N781" s="81"/>
      <c r="O781" s="96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  <c r="AC781" s="81"/>
      <c r="AD781" s="81"/>
      <c r="AE781" s="81"/>
      <c r="AF781" s="81"/>
      <c r="AG781" s="81"/>
      <c r="AH781" s="81"/>
      <c r="AI781" s="81"/>
      <c r="AJ781" s="81"/>
      <c r="AK781" s="81"/>
      <c r="AL781" s="81"/>
      <c r="AM781" s="81"/>
    </row>
    <row collapsed="false" customFormat="false" customHeight="true" hidden="false" ht="16.2" outlineLevel="0" r="782">
      <c r="A782" s="80"/>
      <c r="B782" s="81" t="s">
        <v>582</v>
      </c>
      <c r="C782" s="85"/>
      <c r="D782" s="85" t="s">
        <v>1054</v>
      </c>
      <c r="E782" s="83" t="s">
        <v>1037</v>
      </c>
      <c r="F782" s="49" t="s">
        <v>1036</v>
      </c>
      <c r="G782" s="85" t="s">
        <v>1042</v>
      </c>
      <c r="H782" s="85" t="n">
        <v>30</v>
      </c>
      <c r="I782" s="85" t="s">
        <v>1044</v>
      </c>
      <c r="J782" s="85" t="n">
        <v>6</v>
      </c>
      <c r="K782" s="85" t="s">
        <v>1041</v>
      </c>
      <c r="L782" s="85" t="s">
        <v>1041</v>
      </c>
      <c r="M782" s="81" t="n">
        <v>6402</v>
      </c>
      <c r="N782" s="81"/>
      <c r="O782" s="96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  <c r="AC782" s="81"/>
      <c r="AD782" s="81"/>
      <c r="AE782" s="81"/>
      <c r="AF782" s="81"/>
      <c r="AG782" s="81"/>
      <c r="AH782" s="81"/>
      <c r="AI782" s="81"/>
      <c r="AJ782" s="81"/>
      <c r="AK782" s="81"/>
      <c r="AL782" s="81"/>
      <c r="AM782" s="81"/>
    </row>
    <row collapsed="false" customFormat="false" customHeight="true" hidden="false" ht="16.2" outlineLevel="0" r="783">
      <c r="A783" s="80" t="n">
        <v>405</v>
      </c>
      <c r="B783" s="81"/>
      <c r="C783" s="82" t="s">
        <v>1033</v>
      </c>
      <c r="D783" s="85"/>
      <c r="E783" s="83" t="s">
        <v>1035</v>
      </c>
      <c r="F783" s="49" t="s">
        <v>1036</v>
      </c>
      <c r="G783" s="85"/>
      <c r="H783" s="85"/>
      <c r="I783" s="85"/>
      <c r="J783" s="85"/>
      <c r="K783" s="85"/>
      <c r="L783" s="85"/>
      <c r="M783" s="81"/>
      <c r="N783" s="81"/>
      <c r="O783" s="96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  <c r="AC783" s="81"/>
      <c r="AD783" s="81"/>
      <c r="AE783" s="81"/>
      <c r="AF783" s="81"/>
      <c r="AG783" s="81"/>
      <c r="AH783" s="81"/>
      <c r="AI783" s="81"/>
      <c r="AJ783" s="81"/>
      <c r="AK783" s="81"/>
      <c r="AL783" s="81"/>
      <c r="AM783" s="81"/>
    </row>
    <row collapsed="false" customFormat="false" customHeight="true" hidden="false" ht="16.2" outlineLevel="0" r="784">
      <c r="A784" s="80"/>
      <c r="B784" s="81" t="s">
        <v>583</v>
      </c>
      <c r="C784" s="85"/>
      <c r="D784" s="85" t="s">
        <v>1054</v>
      </c>
      <c r="E784" s="83" t="s">
        <v>1037</v>
      </c>
      <c r="F784" s="49" t="s">
        <v>1036</v>
      </c>
      <c r="G784" s="85" t="s">
        <v>1042</v>
      </c>
      <c r="H784" s="85" t="n">
        <v>30</v>
      </c>
      <c r="I784" s="85" t="s">
        <v>1044</v>
      </c>
      <c r="J784" s="85" t="n">
        <v>5</v>
      </c>
      <c r="K784" s="85" t="s">
        <v>1041</v>
      </c>
      <c r="L784" s="85" t="s">
        <v>1041</v>
      </c>
      <c r="M784" s="81" t="n">
        <v>6720</v>
      </c>
      <c r="N784" s="81"/>
      <c r="O784" s="96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  <c r="AC784" s="81"/>
      <c r="AD784" s="81"/>
      <c r="AE784" s="81"/>
      <c r="AF784" s="81"/>
      <c r="AG784" s="81"/>
      <c r="AH784" s="81"/>
      <c r="AI784" s="81"/>
      <c r="AJ784" s="81"/>
      <c r="AK784" s="81"/>
      <c r="AL784" s="81"/>
      <c r="AM784" s="81"/>
    </row>
    <row collapsed="false" customFormat="false" customHeight="true" hidden="false" ht="16.2" outlineLevel="0" r="785">
      <c r="A785" s="80" t="n">
        <v>406</v>
      </c>
      <c r="B785" s="81"/>
      <c r="C785" s="82" t="s">
        <v>1033</v>
      </c>
      <c r="D785" s="85"/>
      <c r="E785" s="83" t="s">
        <v>1035</v>
      </c>
      <c r="F785" s="49" t="s">
        <v>1036</v>
      </c>
      <c r="G785" s="85"/>
      <c r="H785" s="85"/>
      <c r="I785" s="85"/>
      <c r="J785" s="85"/>
      <c r="K785" s="85"/>
      <c r="L785" s="85"/>
      <c r="M785" s="81"/>
      <c r="N785" s="81"/>
      <c r="O785" s="96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  <c r="AC785" s="81"/>
      <c r="AD785" s="81"/>
      <c r="AE785" s="81"/>
      <c r="AF785" s="81"/>
      <c r="AG785" s="81"/>
      <c r="AH785" s="81"/>
      <c r="AI785" s="81"/>
      <c r="AJ785" s="81"/>
      <c r="AK785" s="81"/>
      <c r="AL785" s="81"/>
      <c r="AM785" s="81"/>
    </row>
    <row collapsed="false" customFormat="false" customHeight="true" hidden="false" ht="16.2" outlineLevel="0" r="786">
      <c r="A786" s="80"/>
      <c r="B786" s="81" t="s">
        <v>584</v>
      </c>
      <c r="C786" s="85"/>
      <c r="D786" s="85" t="s">
        <v>1054</v>
      </c>
      <c r="E786" s="83" t="s">
        <v>1037</v>
      </c>
      <c r="F786" s="49" t="s">
        <v>1036</v>
      </c>
      <c r="G786" s="85" t="s">
        <v>1039</v>
      </c>
      <c r="H786" s="85" t="n">
        <v>24</v>
      </c>
      <c r="I786" s="85" t="s">
        <v>1044</v>
      </c>
      <c r="J786" s="85" t="n">
        <v>6</v>
      </c>
      <c r="K786" s="85" t="s">
        <v>1041</v>
      </c>
      <c r="L786" s="85" t="s">
        <v>1041</v>
      </c>
      <c r="M786" s="81" t="n">
        <v>8040</v>
      </c>
      <c r="N786" s="81"/>
      <c r="O786" s="96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  <c r="AC786" s="81"/>
      <c r="AD786" s="81"/>
      <c r="AE786" s="81"/>
      <c r="AF786" s="81"/>
      <c r="AG786" s="81"/>
      <c r="AH786" s="81"/>
      <c r="AI786" s="81"/>
      <c r="AJ786" s="81"/>
      <c r="AK786" s="81"/>
      <c r="AL786" s="81"/>
      <c r="AM786" s="81"/>
    </row>
    <row collapsed="false" customFormat="false" customHeight="true" hidden="false" ht="16.2" outlineLevel="0" r="787">
      <c r="A787" s="80" t="n">
        <v>407</v>
      </c>
      <c r="B787" s="81"/>
      <c r="C787" s="82" t="s">
        <v>1033</v>
      </c>
      <c r="D787" s="85"/>
      <c r="E787" s="83" t="s">
        <v>1035</v>
      </c>
      <c r="F787" s="49" t="s">
        <v>1036</v>
      </c>
      <c r="G787" s="85"/>
      <c r="H787" s="85"/>
      <c r="I787" s="85"/>
      <c r="J787" s="85"/>
      <c r="K787" s="85"/>
      <c r="L787" s="85"/>
      <c r="M787" s="81"/>
      <c r="N787" s="81"/>
      <c r="O787" s="96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  <c r="AC787" s="81"/>
      <c r="AD787" s="81"/>
      <c r="AE787" s="81"/>
      <c r="AF787" s="81"/>
      <c r="AG787" s="81"/>
      <c r="AH787" s="81"/>
      <c r="AI787" s="81"/>
      <c r="AJ787" s="81"/>
      <c r="AK787" s="81"/>
      <c r="AL787" s="81"/>
      <c r="AM787" s="81"/>
    </row>
    <row collapsed="false" customFormat="false" customHeight="true" hidden="false" ht="16.2" outlineLevel="0" r="788">
      <c r="A788" s="80"/>
      <c r="B788" s="81" t="s">
        <v>585</v>
      </c>
      <c r="C788" s="85"/>
      <c r="D788" s="85" t="s">
        <v>1054</v>
      </c>
      <c r="E788" s="83" t="s">
        <v>1037</v>
      </c>
      <c r="F788" s="49" t="s">
        <v>1036</v>
      </c>
      <c r="G788" s="85" t="s">
        <v>1039</v>
      </c>
      <c r="H788" s="85" t="n">
        <v>24</v>
      </c>
      <c r="I788" s="85" t="s">
        <v>1044</v>
      </c>
      <c r="J788" s="85" t="n">
        <v>5</v>
      </c>
      <c r="K788" s="85" t="s">
        <v>1041</v>
      </c>
      <c r="L788" s="85" t="s">
        <v>1041</v>
      </c>
      <c r="M788" s="81" t="n">
        <v>9444</v>
      </c>
      <c r="N788" s="81"/>
      <c r="O788" s="96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  <c r="AC788" s="81"/>
      <c r="AD788" s="81"/>
      <c r="AE788" s="81"/>
      <c r="AF788" s="81"/>
      <c r="AG788" s="81"/>
      <c r="AH788" s="81"/>
      <c r="AI788" s="81"/>
      <c r="AJ788" s="81"/>
      <c r="AK788" s="81"/>
      <c r="AL788" s="81"/>
      <c r="AM788" s="81"/>
    </row>
    <row collapsed="false" customFormat="false" customHeight="true" hidden="false" ht="16.2" outlineLevel="0" r="789">
      <c r="A789" s="80" t="n">
        <v>408</v>
      </c>
      <c r="B789" s="81"/>
      <c r="C789" s="82" t="s">
        <v>1033</v>
      </c>
      <c r="D789" s="85"/>
      <c r="E789" s="83" t="s">
        <v>1035</v>
      </c>
      <c r="F789" s="49" t="s">
        <v>1036</v>
      </c>
      <c r="G789" s="85"/>
      <c r="H789" s="85"/>
      <c r="I789" s="85"/>
      <c r="J789" s="85"/>
      <c r="K789" s="85"/>
      <c r="L789" s="85"/>
      <c r="M789" s="81"/>
      <c r="N789" s="81"/>
      <c r="O789" s="96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  <c r="AC789" s="81"/>
      <c r="AD789" s="81"/>
      <c r="AE789" s="81"/>
      <c r="AF789" s="81"/>
      <c r="AG789" s="81"/>
      <c r="AH789" s="81"/>
      <c r="AI789" s="81"/>
      <c r="AJ789" s="81"/>
      <c r="AK789" s="81"/>
      <c r="AL789" s="81"/>
      <c r="AM789" s="81"/>
    </row>
    <row collapsed="false" customFormat="false" customHeight="true" hidden="false" ht="16.2" outlineLevel="0" r="790">
      <c r="A790" s="80"/>
      <c r="B790" s="81" t="s">
        <v>586</v>
      </c>
      <c r="C790" s="85"/>
      <c r="D790" s="85" t="s">
        <v>1054</v>
      </c>
      <c r="E790" s="83" t="s">
        <v>1037</v>
      </c>
      <c r="F790" s="49" t="s">
        <v>1036</v>
      </c>
      <c r="G790" s="85" t="s">
        <v>1039</v>
      </c>
      <c r="H790" s="85" t="n">
        <v>20</v>
      </c>
      <c r="I790" s="85" t="s">
        <v>1044</v>
      </c>
      <c r="J790" s="85" t="n">
        <v>5</v>
      </c>
      <c r="K790" s="85" t="s">
        <v>1041</v>
      </c>
      <c r="L790" s="85" t="s">
        <v>1041</v>
      </c>
      <c r="M790" s="81" t="n">
        <v>6378</v>
      </c>
      <c r="N790" s="81"/>
      <c r="O790" s="96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  <c r="AC790" s="81"/>
      <c r="AD790" s="81"/>
      <c r="AE790" s="81"/>
      <c r="AF790" s="81"/>
      <c r="AG790" s="81"/>
      <c r="AH790" s="81"/>
      <c r="AI790" s="81"/>
      <c r="AJ790" s="81"/>
      <c r="AK790" s="81"/>
      <c r="AL790" s="81"/>
      <c r="AM790" s="81"/>
    </row>
    <row collapsed="false" customFormat="false" customHeight="true" hidden="false" ht="16.2" outlineLevel="0" r="791">
      <c r="A791" s="80" t="n">
        <v>409</v>
      </c>
      <c r="B791" s="81"/>
      <c r="C791" s="82" t="s">
        <v>1033</v>
      </c>
      <c r="D791" s="85"/>
      <c r="E791" s="83" t="s">
        <v>1035</v>
      </c>
      <c r="F791" s="49" t="s">
        <v>1036</v>
      </c>
      <c r="G791" s="85"/>
      <c r="H791" s="85"/>
      <c r="I791" s="85"/>
      <c r="J791" s="85"/>
      <c r="K791" s="85"/>
      <c r="L791" s="85"/>
      <c r="M791" s="81"/>
      <c r="N791" s="81"/>
      <c r="O791" s="96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  <c r="AC791" s="81"/>
      <c r="AD791" s="81"/>
      <c r="AE791" s="81"/>
      <c r="AF791" s="81"/>
      <c r="AG791" s="81"/>
      <c r="AH791" s="81"/>
      <c r="AI791" s="81"/>
      <c r="AJ791" s="81"/>
      <c r="AK791" s="81"/>
      <c r="AL791" s="81"/>
      <c r="AM791" s="81"/>
    </row>
    <row collapsed="false" customFormat="false" customHeight="true" hidden="false" ht="16.2" outlineLevel="0" r="792">
      <c r="A792" s="80"/>
      <c r="B792" s="81" t="s">
        <v>587</v>
      </c>
      <c r="C792" s="85"/>
      <c r="D792" s="85" t="s">
        <v>1054</v>
      </c>
      <c r="E792" s="83" t="s">
        <v>1037</v>
      </c>
      <c r="F792" s="49" t="s">
        <v>1036</v>
      </c>
      <c r="G792" s="85" t="s">
        <v>1039</v>
      </c>
      <c r="H792" s="85" t="n">
        <v>25</v>
      </c>
      <c r="I792" s="85" t="s">
        <v>1039</v>
      </c>
      <c r="J792" s="85" t="n">
        <v>4</v>
      </c>
      <c r="K792" s="85" t="s">
        <v>1041</v>
      </c>
      <c r="L792" s="85" t="s">
        <v>1041</v>
      </c>
      <c r="M792" s="81" t="n">
        <v>8394</v>
      </c>
      <c r="N792" s="81"/>
      <c r="O792" s="96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  <c r="AC792" s="81"/>
      <c r="AD792" s="81"/>
      <c r="AE792" s="81"/>
      <c r="AF792" s="81"/>
      <c r="AG792" s="81"/>
      <c r="AH792" s="81"/>
      <c r="AI792" s="81"/>
      <c r="AJ792" s="81"/>
      <c r="AK792" s="81"/>
      <c r="AL792" s="81"/>
      <c r="AM792" s="81"/>
    </row>
    <row collapsed="false" customFormat="false" customHeight="true" hidden="false" ht="16.2" outlineLevel="0" r="793">
      <c r="A793" s="80" t="n">
        <v>410</v>
      </c>
      <c r="B793" s="81"/>
      <c r="C793" s="82" t="s">
        <v>1033</v>
      </c>
      <c r="D793" s="85"/>
      <c r="E793" s="83" t="s">
        <v>1035</v>
      </c>
      <c r="F793" s="49" t="s">
        <v>1036</v>
      </c>
      <c r="G793" s="85"/>
      <c r="H793" s="85"/>
      <c r="I793" s="85"/>
      <c r="J793" s="85"/>
      <c r="K793" s="85"/>
      <c r="L793" s="85"/>
      <c r="M793" s="81"/>
      <c r="N793" s="81"/>
      <c r="O793" s="96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  <c r="AC793" s="81"/>
      <c r="AD793" s="81"/>
      <c r="AE793" s="81"/>
      <c r="AF793" s="81"/>
      <c r="AG793" s="81"/>
      <c r="AH793" s="81"/>
      <c r="AI793" s="81"/>
      <c r="AJ793" s="81"/>
      <c r="AK793" s="81"/>
      <c r="AL793" s="81"/>
      <c r="AM793" s="81"/>
    </row>
    <row collapsed="false" customFormat="false" customHeight="true" hidden="false" ht="16.2" outlineLevel="0" r="794">
      <c r="A794" s="80"/>
      <c r="B794" s="81" t="s">
        <v>588</v>
      </c>
      <c r="C794" s="85"/>
      <c r="D794" s="85" t="s">
        <v>1054</v>
      </c>
      <c r="E794" s="83" t="s">
        <v>1037</v>
      </c>
      <c r="F794" s="49" t="s">
        <v>1036</v>
      </c>
      <c r="G794" s="85" t="s">
        <v>1039</v>
      </c>
      <c r="H794" s="85" t="n">
        <v>25</v>
      </c>
      <c r="I794" s="85" t="s">
        <v>1039</v>
      </c>
      <c r="J794" s="85" t="n">
        <v>4</v>
      </c>
      <c r="K794" s="85" t="s">
        <v>1041</v>
      </c>
      <c r="L794" s="85" t="s">
        <v>1041</v>
      </c>
      <c r="M794" s="81" t="n">
        <v>7254</v>
      </c>
      <c r="N794" s="81"/>
      <c r="O794" s="96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  <c r="AC794" s="81"/>
      <c r="AD794" s="81"/>
      <c r="AE794" s="81"/>
      <c r="AF794" s="81"/>
      <c r="AG794" s="81"/>
      <c r="AH794" s="81"/>
      <c r="AI794" s="81"/>
      <c r="AJ794" s="81"/>
      <c r="AK794" s="81"/>
      <c r="AL794" s="81"/>
      <c r="AM794" s="81"/>
    </row>
    <row collapsed="false" customFormat="false" customHeight="true" hidden="false" ht="16.2" outlineLevel="0" r="795">
      <c r="A795" s="80" t="n">
        <v>411</v>
      </c>
      <c r="B795" s="81"/>
      <c r="C795" s="82" t="s">
        <v>1033</v>
      </c>
      <c r="D795" s="85"/>
      <c r="E795" s="83" t="s">
        <v>1035</v>
      </c>
      <c r="F795" s="49" t="s">
        <v>1036</v>
      </c>
      <c r="G795" s="85"/>
      <c r="H795" s="85"/>
      <c r="I795" s="85"/>
      <c r="J795" s="85"/>
      <c r="K795" s="85"/>
      <c r="L795" s="85"/>
      <c r="M795" s="81"/>
      <c r="N795" s="81"/>
      <c r="O795" s="96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  <c r="AC795" s="81"/>
      <c r="AD795" s="81"/>
      <c r="AE795" s="81"/>
      <c r="AF795" s="81"/>
      <c r="AG795" s="81"/>
      <c r="AH795" s="81"/>
      <c r="AI795" s="81"/>
      <c r="AJ795" s="81"/>
      <c r="AK795" s="81"/>
      <c r="AL795" s="81"/>
      <c r="AM795" s="81"/>
    </row>
    <row collapsed="false" customFormat="false" customHeight="true" hidden="false" ht="16.2" outlineLevel="0" r="796">
      <c r="A796" s="80"/>
      <c r="B796" s="81" t="s">
        <v>589</v>
      </c>
      <c r="C796" s="85"/>
      <c r="D796" s="85" t="s">
        <v>1054</v>
      </c>
      <c r="E796" s="83" t="s">
        <v>1037</v>
      </c>
      <c r="F796" s="49" t="s">
        <v>1036</v>
      </c>
      <c r="G796" s="85" t="s">
        <v>1039</v>
      </c>
      <c r="H796" s="85" t="n">
        <v>5</v>
      </c>
      <c r="I796" s="85" t="s">
        <v>1039</v>
      </c>
      <c r="J796" s="85" t="n">
        <v>5</v>
      </c>
      <c r="K796" s="85" t="s">
        <v>1041</v>
      </c>
      <c r="L796" s="85" t="s">
        <v>1041</v>
      </c>
      <c r="M796" s="81" t="n">
        <v>7830</v>
      </c>
      <c r="N796" s="81"/>
      <c r="O796" s="96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  <c r="AC796" s="81"/>
      <c r="AD796" s="81"/>
      <c r="AE796" s="81"/>
      <c r="AF796" s="81"/>
      <c r="AG796" s="81"/>
      <c r="AH796" s="81"/>
      <c r="AI796" s="81"/>
      <c r="AJ796" s="81"/>
      <c r="AK796" s="81"/>
      <c r="AL796" s="81"/>
      <c r="AM796" s="81"/>
    </row>
    <row collapsed="false" customFormat="false" customHeight="true" hidden="false" ht="16.2" outlineLevel="0" r="797">
      <c r="A797" s="80" t="n">
        <v>412</v>
      </c>
      <c r="B797" s="81"/>
      <c r="C797" s="82" t="s">
        <v>1033</v>
      </c>
      <c r="D797" s="85"/>
      <c r="E797" s="83" t="s">
        <v>1035</v>
      </c>
      <c r="F797" s="49" t="s">
        <v>1036</v>
      </c>
      <c r="G797" s="85"/>
      <c r="H797" s="85"/>
      <c r="I797" s="85"/>
      <c r="J797" s="85"/>
      <c r="K797" s="85"/>
      <c r="L797" s="85"/>
      <c r="M797" s="81"/>
      <c r="N797" s="81"/>
      <c r="O797" s="96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  <c r="AC797" s="81"/>
      <c r="AD797" s="81"/>
      <c r="AE797" s="81"/>
      <c r="AF797" s="81"/>
      <c r="AG797" s="81"/>
      <c r="AH797" s="81"/>
      <c r="AI797" s="81"/>
      <c r="AJ797" s="81"/>
      <c r="AK797" s="81"/>
      <c r="AL797" s="81"/>
      <c r="AM797" s="81"/>
    </row>
    <row collapsed="false" customFormat="false" customHeight="true" hidden="false" ht="16.2" outlineLevel="0" r="798">
      <c r="A798" s="80"/>
      <c r="B798" s="81" t="s">
        <v>591</v>
      </c>
      <c r="C798" s="85"/>
      <c r="D798" s="85" t="s">
        <v>1054</v>
      </c>
      <c r="E798" s="83" t="s">
        <v>1037</v>
      </c>
      <c r="F798" s="49" t="s">
        <v>1036</v>
      </c>
      <c r="G798" s="85" t="s">
        <v>1039</v>
      </c>
      <c r="H798" s="85" t="n">
        <v>24</v>
      </c>
      <c r="I798" s="85" t="s">
        <v>1050</v>
      </c>
      <c r="J798" s="85" t="n">
        <v>2</v>
      </c>
      <c r="K798" s="85" t="s">
        <v>1041</v>
      </c>
      <c r="L798" s="85" t="s">
        <v>1041</v>
      </c>
      <c r="M798" s="81" t="n">
        <v>7650</v>
      </c>
      <c r="N798" s="81"/>
      <c r="O798" s="96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  <c r="AC798" s="81"/>
      <c r="AD798" s="81"/>
      <c r="AE798" s="81"/>
      <c r="AF798" s="81"/>
      <c r="AG798" s="81"/>
      <c r="AH798" s="81"/>
      <c r="AI798" s="81"/>
      <c r="AJ798" s="81"/>
      <c r="AK798" s="81"/>
      <c r="AL798" s="81"/>
      <c r="AM798" s="81"/>
    </row>
    <row collapsed="false" customFormat="false" customHeight="true" hidden="false" ht="16.2" outlineLevel="0" r="799">
      <c r="A799" s="80" t="n">
        <v>413</v>
      </c>
      <c r="B799" s="81"/>
      <c r="C799" s="82" t="s">
        <v>1033</v>
      </c>
      <c r="D799" s="85"/>
      <c r="E799" s="83" t="s">
        <v>1035</v>
      </c>
      <c r="F799" s="49" t="s">
        <v>1036</v>
      </c>
      <c r="G799" s="85"/>
      <c r="H799" s="85"/>
      <c r="I799" s="85"/>
      <c r="J799" s="85"/>
      <c r="K799" s="85"/>
      <c r="L799" s="85"/>
      <c r="M799" s="81"/>
      <c r="N799" s="81"/>
      <c r="O799" s="96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  <c r="AC799" s="81"/>
      <c r="AD799" s="81"/>
      <c r="AE799" s="81"/>
      <c r="AF799" s="81"/>
      <c r="AG799" s="81"/>
      <c r="AH799" s="81"/>
      <c r="AI799" s="81"/>
      <c r="AJ799" s="81"/>
      <c r="AK799" s="81"/>
      <c r="AL799" s="81"/>
      <c r="AM799" s="81"/>
    </row>
    <row collapsed="false" customFormat="false" customHeight="true" hidden="false" ht="16.2" outlineLevel="0" r="800">
      <c r="A800" s="80"/>
      <c r="B800" s="81" t="s">
        <v>592</v>
      </c>
      <c r="C800" s="85"/>
      <c r="D800" s="85" t="s">
        <v>1054</v>
      </c>
      <c r="E800" s="83" t="s">
        <v>1037</v>
      </c>
      <c r="F800" s="49" t="s">
        <v>1036</v>
      </c>
      <c r="G800" s="85" t="s">
        <v>1039</v>
      </c>
      <c r="H800" s="85" t="n">
        <v>21</v>
      </c>
      <c r="I800" s="85" t="s">
        <v>1050</v>
      </c>
      <c r="J800" s="85" t="n">
        <v>2</v>
      </c>
      <c r="K800" s="85" t="s">
        <v>1041</v>
      </c>
      <c r="L800" s="85" t="s">
        <v>1041</v>
      </c>
      <c r="M800" s="81" t="n">
        <v>3300</v>
      </c>
      <c r="N800" s="81"/>
      <c r="O800" s="96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  <c r="AC800" s="81"/>
      <c r="AD800" s="81"/>
      <c r="AE800" s="81"/>
      <c r="AF800" s="81"/>
      <c r="AG800" s="81"/>
      <c r="AH800" s="81"/>
      <c r="AI800" s="81"/>
      <c r="AJ800" s="81"/>
      <c r="AK800" s="81"/>
      <c r="AL800" s="81"/>
      <c r="AM800" s="81"/>
    </row>
    <row collapsed="false" customFormat="false" customHeight="true" hidden="false" ht="16.2" outlineLevel="0" r="801">
      <c r="A801" s="80" t="n">
        <v>414</v>
      </c>
      <c r="B801" s="81"/>
      <c r="C801" s="82" t="s">
        <v>1033</v>
      </c>
      <c r="D801" s="85"/>
      <c r="E801" s="83" t="s">
        <v>1035</v>
      </c>
      <c r="F801" s="49" t="s">
        <v>1036</v>
      </c>
      <c r="G801" s="85"/>
      <c r="H801" s="85"/>
      <c r="I801" s="85"/>
      <c r="J801" s="85"/>
      <c r="K801" s="85"/>
      <c r="L801" s="85"/>
      <c r="M801" s="81"/>
      <c r="N801" s="81"/>
      <c r="O801" s="96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  <c r="AC801" s="81"/>
      <c r="AD801" s="81"/>
      <c r="AE801" s="81"/>
      <c r="AF801" s="81"/>
      <c r="AG801" s="81"/>
      <c r="AH801" s="81"/>
      <c r="AI801" s="81"/>
      <c r="AJ801" s="81"/>
      <c r="AK801" s="81"/>
      <c r="AL801" s="81"/>
      <c r="AM801" s="81"/>
    </row>
    <row collapsed="false" customFormat="false" customHeight="true" hidden="false" ht="16.2" outlineLevel="0" r="802">
      <c r="A802" s="80"/>
      <c r="B802" s="81" t="s">
        <v>594</v>
      </c>
      <c r="C802" s="85"/>
      <c r="D802" s="85" t="s">
        <v>1054</v>
      </c>
      <c r="E802" s="83" t="s">
        <v>1037</v>
      </c>
      <c r="F802" s="49" t="s">
        <v>1036</v>
      </c>
      <c r="G802" s="85" t="s">
        <v>1042</v>
      </c>
      <c r="H802" s="85" t="n">
        <v>15</v>
      </c>
      <c r="I802" s="85" t="s">
        <v>1050</v>
      </c>
      <c r="J802" s="85" t="n">
        <v>2</v>
      </c>
      <c r="K802" s="85" t="s">
        <v>1041</v>
      </c>
      <c r="L802" s="85" t="s">
        <v>1041</v>
      </c>
      <c r="M802" s="81" t="n">
        <v>4050</v>
      </c>
      <c r="N802" s="81"/>
      <c r="O802" s="96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  <c r="AC802" s="81"/>
      <c r="AD802" s="81"/>
      <c r="AE802" s="81"/>
      <c r="AF802" s="81"/>
      <c r="AG802" s="81"/>
      <c r="AH802" s="81"/>
      <c r="AI802" s="81"/>
      <c r="AJ802" s="81"/>
      <c r="AK802" s="81"/>
      <c r="AL802" s="81"/>
      <c r="AM802" s="81"/>
    </row>
    <row collapsed="false" customFormat="false" customHeight="true" hidden="false" ht="16.2" outlineLevel="0" r="803">
      <c r="A803" s="80" t="n">
        <v>415</v>
      </c>
      <c r="B803" s="81"/>
      <c r="C803" s="82" t="s">
        <v>1033</v>
      </c>
      <c r="D803" s="85"/>
      <c r="E803" s="83" t="s">
        <v>1035</v>
      </c>
      <c r="F803" s="49" t="s">
        <v>1036</v>
      </c>
      <c r="G803" s="85"/>
      <c r="H803" s="85"/>
      <c r="I803" s="85"/>
      <c r="J803" s="85"/>
      <c r="K803" s="85"/>
      <c r="L803" s="85"/>
      <c r="M803" s="81"/>
      <c r="N803" s="81"/>
      <c r="O803" s="96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  <c r="AC803" s="81"/>
      <c r="AD803" s="81"/>
      <c r="AE803" s="81"/>
      <c r="AF803" s="81"/>
      <c r="AG803" s="81"/>
      <c r="AH803" s="81"/>
      <c r="AI803" s="81"/>
      <c r="AJ803" s="81"/>
      <c r="AK803" s="81"/>
      <c r="AL803" s="81"/>
      <c r="AM803" s="81"/>
    </row>
    <row collapsed="false" customFormat="false" customHeight="true" hidden="false" ht="16.2" outlineLevel="0" r="804">
      <c r="A804" s="80"/>
      <c r="B804" s="81" t="s">
        <v>595</v>
      </c>
      <c r="C804" s="85"/>
      <c r="D804" s="85" t="s">
        <v>1054</v>
      </c>
      <c r="E804" s="83" t="s">
        <v>1037</v>
      </c>
      <c r="F804" s="49" t="s">
        <v>1036</v>
      </c>
      <c r="G804" s="85" t="s">
        <v>1039</v>
      </c>
      <c r="H804" s="85" t="n">
        <v>10</v>
      </c>
      <c r="I804" s="85" t="s">
        <v>1050</v>
      </c>
      <c r="J804" s="85" t="n">
        <v>2</v>
      </c>
      <c r="K804" s="85" t="s">
        <v>1041</v>
      </c>
      <c r="L804" s="85" t="s">
        <v>1041</v>
      </c>
      <c r="M804" s="81" t="n">
        <v>1908</v>
      </c>
      <c r="N804" s="81"/>
      <c r="O804" s="96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  <c r="AC804" s="81"/>
      <c r="AD804" s="81"/>
      <c r="AE804" s="81"/>
      <c r="AF804" s="81"/>
      <c r="AG804" s="81"/>
      <c r="AH804" s="81"/>
      <c r="AI804" s="81"/>
      <c r="AJ804" s="81"/>
      <c r="AK804" s="81"/>
      <c r="AL804" s="81"/>
      <c r="AM804" s="81"/>
    </row>
    <row collapsed="false" customFormat="false" customHeight="true" hidden="false" ht="16.2" outlineLevel="0" r="805">
      <c r="A805" s="80" t="n">
        <v>416</v>
      </c>
      <c r="B805" s="81"/>
      <c r="C805" s="82" t="s">
        <v>1033</v>
      </c>
      <c r="D805" s="85"/>
      <c r="E805" s="83" t="s">
        <v>1035</v>
      </c>
      <c r="F805" s="49" t="s">
        <v>1036</v>
      </c>
      <c r="G805" s="85"/>
      <c r="H805" s="85"/>
      <c r="I805" s="85"/>
      <c r="J805" s="85"/>
      <c r="K805" s="85"/>
      <c r="L805" s="85"/>
      <c r="M805" s="81"/>
      <c r="N805" s="81"/>
      <c r="O805" s="96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  <c r="AC805" s="81"/>
      <c r="AD805" s="81"/>
      <c r="AE805" s="81"/>
      <c r="AF805" s="81"/>
      <c r="AG805" s="81"/>
      <c r="AH805" s="81"/>
      <c r="AI805" s="81"/>
      <c r="AJ805" s="81"/>
      <c r="AK805" s="81"/>
      <c r="AL805" s="81"/>
      <c r="AM805" s="81"/>
    </row>
    <row collapsed="false" customFormat="false" customHeight="true" hidden="false" ht="16.2" outlineLevel="0" r="806">
      <c r="A806" s="80"/>
      <c r="B806" s="81" t="s">
        <v>596</v>
      </c>
      <c r="C806" s="85"/>
      <c r="D806" s="85" t="s">
        <v>1054</v>
      </c>
      <c r="E806" s="83" t="s">
        <v>1037</v>
      </c>
      <c r="F806" s="49" t="s">
        <v>1036</v>
      </c>
      <c r="G806" s="85" t="s">
        <v>1044</v>
      </c>
      <c r="H806" s="85" t="n">
        <v>20</v>
      </c>
      <c r="I806" s="85" t="s">
        <v>1039</v>
      </c>
      <c r="J806" s="85" t="n">
        <v>5</v>
      </c>
      <c r="K806" s="85" t="s">
        <v>1041</v>
      </c>
      <c r="L806" s="85" t="s">
        <v>1041</v>
      </c>
      <c r="M806" s="81" t="n">
        <v>7914</v>
      </c>
      <c r="N806" s="81"/>
      <c r="O806" s="96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  <c r="AC806" s="81"/>
      <c r="AD806" s="81"/>
      <c r="AE806" s="81"/>
      <c r="AF806" s="81"/>
      <c r="AG806" s="81"/>
      <c r="AH806" s="81"/>
      <c r="AI806" s="81"/>
      <c r="AJ806" s="81"/>
      <c r="AK806" s="81"/>
      <c r="AL806" s="81"/>
      <c r="AM806" s="81"/>
    </row>
    <row collapsed="false" customFormat="false" customHeight="true" hidden="false" ht="16.2" outlineLevel="0" r="807">
      <c r="A807" s="80" t="n">
        <v>417</v>
      </c>
      <c r="B807" s="81"/>
      <c r="C807" s="82" t="s">
        <v>1033</v>
      </c>
      <c r="D807" s="85"/>
      <c r="E807" s="83" t="s">
        <v>1035</v>
      </c>
      <c r="F807" s="49" t="s">
        <v>1036</v>
      </c>
      <c r="G807" s="85"/>
      <c r="H807" s="85"/>
      <c r="I807" s="85"/>
      <c r="J807" s="85"/>
      <c r="K807" s="85"/>
      <c r="L807" s="85"/>
      <c r="M807" s="81"/>
      <c r="N807" s="81"/>
      <c r="O807" s="96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  <c r="AC807" s="81"/>
      <c r="AD807" s="81"/>
      <c r="AE807" s="81"/>
      <c r="AF807" s="81"/>
      <c r="AG807" s="81"/>
      <c r="AH807" s="81"/>
      <c r="AI807" s="81"/>
      <c r="AJ807" s="81"/>
      <c r="AK807" s="81"/>
      <c r="AL807" s="81"/>
      <c r="AM807" s="81"/>
    </row>
    <row collapsed="false" customFormat="false" customHeight="true" hidden="false" ht="16.2" outlineLevel="0" r="808">
      <c r="A808" s="80"/>
      <c r="B808" s="81" t="s">
        <v>597</v>
      </c>
      <c r="C808" s="85"/>
      <c r="D808" s="85" t="s">
        <v>1054</v>
      </c>
      <c r="E808" s="83" t="s">
        <v>1037</v>
      </c>
      <c r="F808" s="49" t="s">
        <v>1036</v>
      </c>
      <c r="G808" s="85" t="s">
        <v>1044</v>
      </c>
      <c r="H808" s="85" t="n">
        <v>19</v>
      </c>
      <c r="I808" s="85" t="s">
        <v>1039</v>
      </c>
      <c r="J808" s="85" t="n">
        <v>1</v>
      </c>
      <c r="K808" s="85" t="s">
        <v>1041</v>
      </c>
      <c r="L808" s="85" t="s">
        <v>1041</v>
      </c>
      <c r="M808" s="81" t="n">
        <v>4254</v>
      </c>
      <c r="N808" s="81"/>
      <c r="O808" s="96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  <c r="AC808" s="81"/>
      <c r="AD808" s="81"/>
      <c r="AE808" s="81"/>
      <c r="AF808" s="81"/>
      <c r="AG808" s="81"/>
      <c r="AH808" s="81"/>
      <c r="AI808" s="81"/>
      <c r="AJ808" s="81"/>
      <c r="AK808" s="81"/>
      <c r="AL808" s="81"/>
      <c r="AM808" s="81"/>
    </row>
    <row collapsed="false" customFormat="false" customHeight="true" hidden="false" ht="16.2" outlineLevel="0" r="809">
      <c r="A809" s="80" t="n">
        <v>418</v>
      </c>
      <c r="B809" s="81"/>
      <c r="C809" s="82" t="s">
        <v>1033</v>
      </c>
      <c r="D809" s="85"/>
      <c r="E809" s="83" t="s">
        <v>1035</v>
      </c>
      <c r="F809" s="49" t="s">
        <v>1036</v>
      </c>
      <c r="G809" s="85"/>
      <c r="H809" s="85"/>
      <c r="I809" s="85"/>
      <c r="J809" s="85"/>
      <c r="K809" s="85"/>
      <c r="L809" s="85"/>
      <c r="M809" s="81"/>
      <c r="N809" s="81"/>
      <c r="O809" s="96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  <c r="AC809" s="81"/>
      <c r="AD809" s="81"/>
      <c r="AE809" s="81"/>
      <c r="AF809" s="81"/>
      <c r="AG809" s="81"/>
      <c r="AH809" s="81"/>
      <c r="AI809" s="81"/>
      <c r="AJ809" s="81"/>
      <c r="AK809" s="81"/>
      <c r="AL809" s="81"/>
      <c r="AM809" s="81"/>
    </row>
    <row collapsed="false" customFormat="false" customHeight="true" hidden="false" ht="16.2" outlineLevel="0" r="810">
      <c r="A810" s="80"/>
      <c r="B810" s="81" t="s">
        <v>598</v>
      </c>
      <c r="C810" s="85"/>
      <c r="D810" s="85" t="s">
        <v>1054</v>
      </c>
      <c r="E810" s="83" t="s">
        <v>1037</v>
      </c>
      <c r="F810" s="49" t="s">
        <v>1036</v>
      </c>
      <c r="G810" s="85" t="s">
        <v>1042</v>
      </c>
      <c r="H810" s="85" t="n">
        <v>36</v>
      </c>
      <c r="I810" s="85" t="s">
        <v>1039</v>
      </c>
      <c r="J810" s="85" t="n">
        <v>6</v>
      </c>
      <c r="K810" s="85" t="s">
        <v>1041</v>
      </c>
      <c r="L810" s="85" t="s">
        <v>1041</v>
      </c>
      <c r="M810" s="81" t="n">
        <v>2274</v>
      </c>
      <c r="N810" s="81"/>
      <c r="O810" s="96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  <c r="AC810" s="81"/>
      <c r="AD810" s="81"/>
      <c r="AE810" s="81"/>
      <c r="AF810" s="81"/>
      <c r="AG810" s="81"/>
      <c r="AH810" s="81"/>
      <c r="AI810" s="81"/>
      <c r="AJ810" s="81"/>
      <c r="AK810" s="81"/>
      <c r="AL810" s="81"/>
      <c r="AM810" s="81"/>
    </row>
    <row collapsed="false" customFormat="false" customHeight="true" hidden="false" ht="16.2" outlineLevel="0" r="811">
      <c r="A811" s="80" t="n">
        <v>419</v>
      </c>
      <c r="B811" s="81"/>
      <c r="C811" s="82" t="s">
        <v>1033</v>
      </c>
      <c r="D811" s="85"/>
      <c r="E811" s="83" t="s">
        <v>1035</v>
      </c>
      <c r="F811" s="49" t="s">
        <v>1036</v>
      </c>
      <c r="G811" s="85"/>
      <c r="H811" s="85"/>
      <c r="I811" s="85"/>
      <c r="J811" s="85"/>
      <c r="K811" s="85"/>
      <c r="L811" s="85"/>
      <c r="M811" s="81"/>
      <c r="N811" s="81"/>
      <c r="O811" s="96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  <c r="AC811" s="81"/>
      <c r="AD811" s="81"/>
      <c r="AE811" s="81"/>
      <c r="AF811" s="81"/>
      <c r="AG811" s="81"/>
      <c r="AH811" s="81"/>
      <c r="AI811" s="81"/>
      <c r="AJ811" s="81"/>
      <c r="AK811" s="81"/>
      <c r="AL811" s="81"/>
      <c r="AM811" s="81"/>
    </row>
    <row collapsed="false" customFormat="false" customHeight="true" hidden="false" ht="16.2" outlineLevel="0" r="812">
      <c r="A812" s="80"/>
      <c r="B812" s="81" t="s">
        <v>599</v>
      </c>
      <c r="C812" s="85"/>
      <c r="D812" s="85" t="s">
        <v>1054</v>
      </c>
      <c r="E812" s="83" t="s">
        <v>1037</v>
      </c>
      <c r="F812" s="49" t="s">
        <v>1036</v>
      </c>
      <c r="G812" s="85" t="s">
        <v>1042</v>
      </c>
      <c r="H812" s="85" t="n">
        <v>28</v>
      </c>
      <c r="I812" s="85" t="s">
        <v>1039</v>
      </c>
      <c r="J812" s="85" t="n">
        <v>6</v>
      </c>
      <c r="K812" s="85" t="s">
        <v>1041</v>
      </c>
      <c r="L812" s="85" t="s">
        <v>1041</v>
      </c>
      <c r="M812" s="81" t="n">
        <v>8868</v>
      </c>
      <c r="N812" s="81"/>
      <c r="O812" s="96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  <c r="AC812" s="81"/>
      <c r="AD812" s="81"/>
      <c r="AE812" s="81"/>
      <c r="AF812" s="81"/>
      <c r="AG812" s="81"/>
      <c r="AH812" s="81"/>
      <c r="AI812" s="81"/>
      <c r="AJ812" s="81"/>
      <c r="AK812" s="81"/>
      <c r="AL812" s="81"/>
      <c r="AM812" s="81"/>
    </row>
    <row collapsed="false" customFormat="false" customHeight="true" hidden="false" ht="16.2" outlineLevel="0" r="813">
      <c r="A813" s="80" t="n">
        <v>420</v>
      </c>
      <c r="B813" s="81"/>
      <c r="C813" s="82" t="s">
        <v>1033</v>
      </c>
      <c r="D813" s="85"/>
      <c r="E813" s="83" t="s">
        <v>1035</v>
      </c>
      <c r="F813" s="49" t="s">
        <v>1036</v>
      </c>
      <c r="G813" s="85"/>
      <c r="H813" s="85"/>
      <c r="I813" s="85"/>
      <c r="J813" s="85"/>
      <c r="K813" s="85"/>
      <c r="L813" s="85"/>
      <c r="M813" s="81"/>
      <c r="N813" s="81"/>
      <c r="O813" s="96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  <c r="AC813" s="81"/>
      <c r="AD813" s="81"/>
      <c r="AE813" s="81"/>
      <c r="AF813" s="81"/>
      <c r="AG813" s="81"/>
      <c r="AH813" s="81"/>
      <c r="AI813" s="81"/>
      <c r="AJ813" s="81"/>
      <c r="AK813" s="81"/>
      <c r="AL813" s="81"/>
      <c r="AM813" s="81"/>
    </row>
    <row collapsed="false" customFormat="false" customHeight="true" hidden="false" ht="16.2" outlineLevel="0" r="814">
      <c r="A814" s="80"/>
      <c r="B814" s="81" t="s">
        <v>600</v>
      </c>
      <c r="C814" s="85"/>
      <c r="D814" s="85" t="s">
        <v>1054</v>
      </c>
      <c r="E814" s="83" t="s">
        <v>1037</v>
      </c>
      <c r="F814" s="49" t="s">
        <v>1036</v>
      </c>
      <c r="G814" s="85" t="s">
        <v>1052</v>
      </c>
      <c r="H814" s="85" t="n">
        <v>24</v>
      </c>
      <c r="I814" s="85" t="s">
        <v>1039</v>
      </c>
      <c r="J814" s="85" t="n">
        <v>4</v>
      </c>
      <c r="K814" s="85" t="s">
        <v>1041</v>
      </c>
      <c r="L814" s="85" t="s">
        <v>1041</v>
      </c>
      <c r="M814" s="81" t="n">
        <v>8910</v>
      </c>
      <c r="N814" s="81"/>
      <c r="O814" s="96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  <c r="AC814" s="81"/>
      <c r="AD814" s="81"/>
      <c r="AE814" s="81"/>
      <c r="AF814" s="81"/>
      <c r="AG814" s="81"/>
      <c r="AH814" s="81"/>
      <c r="AI814" s="81"/>
      <c r="AJ814" s="81"/>
      <c r="AK814" s="81"/>
      <c r="AL814" s="81"/>
      <c r="AM814" s="81"/>
    </row>
    <row collapsed="false" customFormat="false" customHeight="true" hidden="false" ht="16.2" outlineLevel="0" r="815">
      <c r="A815" s="80" t="n">
        <v>421</v>
      </c>
      <c r="B815" s="81"/>
      <c r="C815" s="82" t="s">
        <v>1033</v>
      </c>
      <c r="D815" s="85"/>
      <c r="E815" s="83" t="s">
        <v>1035</v>
      </c>
      <c r="F815" s="49" t="s">
        <v>1036</v>
      </c>
      <c r="G815" s="85"/>
      <c r="H815" s="85"/>
      <c r="I815" s="85"/>
      <c r="J815" s="85"/>
      <c r="K815" s="85"/>
      <c r="L815" s="85"/>
      <c r="M815" s="81"/>
      <c r="N815" s="81"/>
      <c r="O815" s="96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  <c r="AC815" s="81"/>
      <c r="AD815" s="81"/>
      <c r="AE815" s="81"/>
      <c r="AF815" s="81"/>
      <c r="AG815" s="81"/>
      <c r="AH815" s="81"/>
      <c r="AI815" s="81"/>
      <c r="AJ815" s="81"/>
      <c r="AK815" s="81"/>
      <c r="AL815" s="81"/>
      <c r="AM815" s="81"/>
    </row>
    <row collapsed="false" customFormat="false" customHeight="true" hidden="false" ht="16.2" outlineLevel="0" r="816">
      <c r="A816" s="80"/>
      <c r="B816" s="81" t="s">
        <v>601</v>
      </c>
      <c r="C816" s="85"/>
      <c r="D816" s="85" t="s">
        <v>1054</v>
      </c>
      <c r="E816" s="83" t="s">
        <v>1037</v>
      </c>
      <c r="F816" s="49" t="s">
        <v>1036</v>
      </c>
      <c r="G816" s="85" t="s">
        <v>1039</v>
      </c>
      <c r="H816" s="85" t="n">
        <v>36</v>
      </c>
      <c r="I816" s="85" t="s">
        <v>1039</v>
      </c>
      <c r="J816" s="85" t="n">
        <v>4</v>
      </c>
      <c r="K816" s="85" t="s">
        <v>1041</v>
      </c>
      <c r="L816" s="85" t="s">
        <v>1041</v>
      </c>
      <c r="M816" s="81" t="n">
        <v>12486</v>
      </c>
      <c r="N816" s="81"/>
      <c r="O816" s="96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  <c r="AC816" s="81"/>
      <c r="AD816" s="81"/>
      <c r="AE816" s="81"/>
      <c r="AF816" s="81"/>
      <c r="AG816" s="81"/>
      <c r="AH816" s="81"/>
      <c r="AI816" s="81"/>
      <c r="AJ816" s="81"/>
      <c r="AK816" s="81"/>
      <c r="AL816" s="81"/>
      <c r="AM816" s="81"/>
    </row>
    <row collapsed="false" customFormat="false" customHeight="true" hidden="false" ht="16.2" outlineLevel="0" r="817">
      <c r="A817" s="80" t="n">
        <v>422</v>
      </c>
      <c r="B817" s="81"/>
      <c r="C817" s="82" t="s">
        <v>1033</v>
      </c>
      <c r="D817" s="85"/>
      <c r="E817" s="83" t="s">
        <v>1035</v>
      </c>
      <c r="F817" s="49" t="s">
        <v>1036</v>
      </c>
      <c r="G817" s="85"/>
      <c r="H817" s="85"/>
      <c r="I817" s="85"/>
      <c r="J817" s="85"/>
      <c r="K817" s="85"/>
      <c r="L817" s="85"/>
      <c r="M817" s="81"/>
      <c r="N817" s="81"/>
      <c r="O817" s="96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  <c r="AC817" s="81"/>
      <c r="AD817" s="81"/>
      <c r="AE817" s="81"/>
      <c r="AF817" s="81"/>
      <c r="AG817" s="81"/>
      <c r="AH817" s="81"/>
      <c r="AI817" s="81"/>
      <c r="AJ817" s="81"/>
      <c r="AK817" s="81"/>
      <c r="AL817" s="81"/>
      <c r="AM817" s="81"/>
    </row>
    <row collapsed="false" customFormat="false" customHeight="true" hidden="false" ht="16.2" outlineLevel="0" r="818">
      <c r="A818" s="80"/>
      <c r="B818" s="81" t="s">
        <v>602</v>
      </c>
      <c r="C818" s="85"/>
      <c r="D818" s="85" t="s">
        <v>1054</v>
      </c>
      <c r="E818" s="83" t="s">
        <v>1037</v>
      </c>
      <c r="F818" s="49" t="s">
        <v>1036</v>
      </c>
      <c r="G818" s="85" t="s">
        <v>1044</v>
      </c>
      <c r="H818" s="85" t="n">
        <v>20</v>
      </c>
      <c r="I818" s="85" t="s">
        <v>1039</v>
      </c>
      <c r="J818" s="85" t="n">
        <v>3</v>
      </c>
      <c r="K818" s="85" t="s">
        <v>1041</v>
      </c>
      <c r="L818" s="85" t="s">
        <v>1041</v>
      </c>
      <c r="M818" s="81" t="n">
        <v>6624</v>
      </c>
      <c r="N818" s="81"/>
      <c r="O818" s="96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  <c r="AC818" s="81"/>
      <c r="AD818" s="81"/>
      <c r="AE818" s="81"/>
      <c r="AF818" s="81"/>
      <c r="AG818" s="81"/>
      <c r="AH818" s="81"/>
      <c r="AI818" s="81"/>
      <c r="AJ818" s="81"/>
      <c r="AK818" s="81"/>
      <c r="AL818" s="81"/>
      <c r="AM818" s="81"/>
    </row>
    <row collapsed="false" customFormat="false" customHeight="true" hidden="false" ht="16.2" outlineLevel="0" r="819">
      <c r="A819" s="80" t="n">
        <v>423</v>
      </c>
      <c r="B819" s="81"/>
      <c r="C819" s="82" t="s">
        <v>1033</v>
      </c>
      <c r="D819" s="85"/>
      <c r="E819" s="83" t="s">
        <v>1035</v>
      </c>
      <c r="F819" s="49" t="s">
        <v>1036</v>
      </c>
      <c r="G819" s="85"/>
      <c r="H819" s="85"/>
      <c r="I819" s="85"/>
      <c r="J819" s="85"/>
      <c r="K819" s="85"/>
      <c r="L819" s="85"/>
      <c r="M819" s="81"/>
      <c r="N819" s="81"/>
      <c r="O819" s="96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  <c r="AC819" s="81"/>
      <c r="AD819" s="81"/>
      <c r="AE819" s="81"/>
      <c r="AF819" s="81"/>
      <c r="AG819" s="81"/>
      <c r="AH819" s="81"/>
      <c r="AI819" s="81"/>
      <c r="AJ819" s="81"/>
      <c r="AK819" s="81"/>
      <c r="AL819" s="81"/>
      <c r="AM819" s="81"/>
    </row>
    <row collapsed="false" customFormat="false" customHeight="true" hidden="false" ht="16.2" outlineLevel="0" r="820">
      <c r="A820" s="80"/>
      <c r="B820" s="81" t="s">
        <v>604</v>
      </c>
      <c r="C820" s="85"/>
      <c r="D820" s="85" t="s">
        <v>1054</v>
      </c>
      <c r="E820" s="83" t="s">
        <v>1037</v>
      </c>
      <c r="F820" s="49" t="s">
        <v>1036</v>
      </c>
      <c r="G820" s="85" t="s">
        <v>1042</v>
      </c>
      <c r="H820" s="85" t="n">
        <v>20</v>
      </c>
      <c r="I820" s="85" t="s">
        <v>1046</v>
      </c>
      <c r="J820" s="85" t="n">
        <v>4</v>
      </c>
      <c r="K820" s="85" t="s">
        <v>1041</v>
      </c>
      <c r="L820" s="85" t="s">
        <v>1041</v>
      </c>
      <c r="M820" s="81"/>
      <c r="N820" s="81"/>
      <c r="O820" s="96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  <c r="AC820" s="81"/>
      <c r="AD820" s="81"/>
      <c r="AE820" s="81"/>
      <c r="AF820" s="81"/>
      <c r="AG820" s="81"/>
      <c r="AH820" s="81"/>
      <c r="AI820" s="81"/>
      <c r="AJ820" s="81"/>
      <c r="AK820" s="81"/>
      <c r="AL820" s="81"/>
      <c r="AM820" s="81"/>
    </row>
    <row collapsed="false" customFormat="false" customHeight="true" hidden="false" ht="16.2" outlineLevel="0" r="821">
      <c r="A821" s="80" t="n">
        <v>424</v>
      </c>
      <c r="B821" s="81"/>
      <c r="C821" s="82" t="s">
        <v>1033</v>
      </c>
      <c r="D821" s="85"/>
      <c r="E821" s="83" t="s">
        <v>1035</v>
      </c>
      <c r="F821" s="49" t="s">
        <v>1036</v>
      </c>
      <c r="G821" s="85"/>
      <c r="H821" s="85"/>
      <c r="I821" s="85"/>
      <c r="J821" s="85"/>
      <c r="K821" s="85"/>
      <c r="L821" s="85"/>
      <c r="M821" s="81"/>
      <c r="N821" s="81"/>
      <c r="O821" s="96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  <c r="AC821" s="81"/>
      <c r="AD821" s="81"/>
      <c r="AE821" s="81"/>
      <c r="AF821" s="81"/>
      <c r="AG821" s="81"/>
      <c r="AH821" s="81"/>
      <c r="AI821" s="81"/>
      <c r="AJ821" s="81"/>
      <c r="AK821" s="81"/>
      <c r="AL821" s="81"/>
      <c r="AM821" s="81"/>
    </row>
    <row collapsed="false" customFormat="false" customHeight="true" hidden="false" ht="16.2" outlineLevel="0" r="822">
      <c r="A822" s="80"/>
      <c r="B822" s="81" t="s">
        <v>605</v>
      </c>
      <c r="C822" s="85"/>
      <c r="D822" s="85" t="s">
        <v>1054</v>
      </c>
      <c r="E822" s="83" t="s">
        <v>1037</v>
      </c>
      <c r="F822" s="49" t="s">
        <v>1036</v>
      </c>
      <c r="G822" s="85" t="s">
        <v>1042</v>
      </c>
      <c r="H822" s="85" t="n">
        <v>20</v>
      </c>
      <c r="I822" s="85" t="s">
        <v>1046</v>
      </c>
      <c r="J822" s="85" t="n">
        <v>3</v>
      </c>
      <c r="K822" s="85" t="s">
        <v>1041</v>
      </c>
      <c r="L822" s="85" t="s">
        <v>1041</v>
      </c>
      <c r="M822" s="81"/>
      <c r="N822" s="81"/>
      <c r="O822" s="96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  <c r="AC822" s="81"/>
      <c r="AD822" s="81"/>
      <c r="AE822" s="81"/>
      <c r="AF822" s="81"/>
      <c r="AG822" s="81"/>
      <c r="AH822" s="81"/>
      <c r="AI822" s="81"/>
      <c r="AJ822" s="81"/>
      <c r="AK822" s="81"/>
      <c r="AL822" s="81"/>
      <c r="AM822" s="81"/>
    </row>
    <row collapsed="false" customFormat="false" customHeight="true" hidden="false" ht="16.2" outlineLevel="0" r="823">
      <c r="A823" s="80" t="n">
        <v>425</v>
      </c>
      <c r="B823" s="81"/>
      <c r="C823" s="82" t="s">
        <v>1033</v>
      </c>
      <c r="D823" s="85"/>
      <c r="E823" s="83" t="s">
        <v>1035</v>
      </c>
      <c r="F823" s="49" t="s">
        <v>1036</v>
      </c>
      <c r="G823" s="85"/>
      <c r="H823" s="85"/>
      <c r="I823" s="85"/>
      <c r="J823" s="85"/>
      <c r="K823" s="85"/>
      <c r="L823" s="85"/>
      <c r="M823" s="81"/>
      <c r="N823" s="81"/>
      <c r="O823" s="96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  <c r="AC823" s="81"/>
      <c r="AD823" s="81"/>
      <c r="AE823" s="81"/>
      <c r="AF823" s="81"/>
      <c r="AG823" s="81"/>
      <c r="AH823" s="81"/>
      <c r="AI823" s="81"/>
      <c r="AJ823" s="81"/>
      <c r="AK823" s="81"/>
      <c r="AL823" s="81"/>
      <c r="AM823" s="81"/>
    </row>
    <row collapsed="false" customFormat="false" customHeight="true" hidden="false" ht="16.2" outlineLevel="0" r="824">
      <c r="A824" s="80"/>
      <c r="B824" s="81" t="s">
        <v>606</v>
      </c>
      <c r="C824" s="85"/>
      <c r="D824" s="85" t="s">
        <v>1054</v>
      </c>
      <c r="E824" s="83" t="s">
        <v>1037</v>
      </c>
      <c r="F824" s="49" t="s">
        <v>1036</v>
      </c>
      <c r="G824" s="85" t="s">
        <v>1042</v>
      </c>
      <c r="H824" s="85" t="n">
        <v>20</v>
      </c>
      <c r="I824" s="85" t="s">
        <v>1046</v>
      </c>
      <c r="J824" s="85" t="n">
        <v>3</v>
      </c>
      <c r="K824" s="85" t="s">
        <v>1041</v>
      </c>
      <c r="L824" s="85" t="s">
        <v>1041</v>
      </c>
      <c r="M824" s="81"/>
      <c r="N824" s="81"/>
      <c r="O824" s="96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  <c r="AC824" s="81"/>
      <c r="AD824" s="81"/>
      <c r="AE824" s="81"/>
      <c r="AF824" s="81"/>
      <c r="AG824" s="81"/>
      <c r="AH824" s="81"/>
      <c r="AI824" s="81"/>
      <c r="AJ824" s="81"/>
      <c r="AK824" s="81"/>
      <c r="AL824" s="81"/>
      <c r="AM824" s="81"/>
    </row>
    <row collapsed="false" customFormat="false" customHeight="true" hidden="false" ht="16.2" outlineLevel="0" r="825">
      <c r="A825" s="80" t="n">
        <v>426</v>
      </c>
      <c r="B825" s="81"/>
      <c r="C825" s="82" t="s">
        <v>1033</v>
      </c>
      <c r="D825" s="85"/>
      <c r="E825" s="83" t="s">
        <v>1035</v>
      </c>
      <c r="F825" s="49" t="s">
        <v>1036</v>
      </c>
      <c r="G825" s="85"/>
      <c r="H825" s="85"/>
      <c r="I825" s="85"/>
      <c r="J825" s="85"/>
      <c r="K825" s="85"/>
      <c r="L825" s="85"/>
      <c r="M825" s="81"/>
      <c r="N825" s="81"/>
      <c r="O825" s="96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  <c r="AC825" s="81"/>
      <c r="AD825" s="81"/>
      <c r="AE825" s="81"/>
      <c r="AF825" s="81"/>
      <c r="AG825" s="81"/>
      <c r="AH825" s="81"/>
      <c r="AI825" s="81"/>
      <c r="AJ825" s="81"/>
      <c r="AK825" s="81"/>
      <c r="AL825" s="81"/>
      <c r="AM825" s="81"/>
    </row>
    <row collapsed="false" customFormat="false" customHeight="true" hidden="false" ht="16.2" outlineLevel="0" r="826">
      <c r="A826" s="80"/>
      <c r="B826" s="81" t="s">
        <v>607</v>
      </c>
      <c r="C826" s="85"/>
      <c r="D826" s="85" t="s">
        <v>1054</v>
      </c>
      <c r="E826" s="83" t="s">
        <v>1037</v>
      </c>
      <c r="F826" s="49" t="s">
        <v>1036</v>
      </c>
      <c r="G826" s="85" t="s">
        <v>1042</v>
      </c>
      <c r="H826" s="85" t="n">
        <v>15</v>
      </c>
      <c r="I826" s="85" t="s">
        <v>1046</v>
      </c>
      <c r="J826" s="85" t="n">
        <v>3</v>
      </c>
      <c r="K826" s="85" t="s">
        <v>1041</v>
      </c>
      <c r="L826" s="85" t="s">
        <v>1041</v>
      </c>
      <c r="M826" s="81"/>
      <c r="N826" s="81"/>
      <c r="O826" s="96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  <c r="AC826" s="81"/>
      <c r="AD826" s="81"/>
      <c r="AE826" s="81"/>
      <c r="AF826" s="81"/>
      <c r="AG826" s="81"/>
      <c r="AH826" s="81"/>
      <c r="AI826" s="81"/>
      <c r="AJ826" s="81"/>
      <c r="AK826" s="81"/>
      <c r="AL826" s="81"/>
      <c r="AM826" s="81"/>
    </row>
    <row collapsed="false" customFormat="false" customHeight="true" hidden="false" ht="16.2" outlineLevel="0" r="827">
      <c r="A827" s="80" t="n">
        <v>427</v>
      </c>
      <c r="B827" s="81"/>
      <c r="C827" s="82" t="s">
        <v>1033</v>
      </c>
      <c r="D827" s="85"/>
      <c r="E827" s="83" t="s">
        <v>1035</v>
      </c>
      <c r="F827" s="49" t="s">
        <v>1036</v>
      </c>
      <c r="G827" s="85"/>
      <c r="H827" s="85"/>
      <c r="I827" s="85"/>
      <c r="J827" s="85"/>
      <c r="K827" s="85"/>
      <c r="L827" s="85"/>
      <c r="M827" s="81"/>
      <c r="N827" s="81"/>
      <c r="O827" s="96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  <c r="AC827" s="81"/>
      <c r="AD827" s="81"/>
      <c r="AE827" s="81"/>
      <c r="AF827" s="81"/>
      <c r="AG827" s="81"/>
      <c r="AH827" s="81"/>
      <c r="AI827" s="81"/>
      <c r="AJ827" s="81"/>
      <c r="AK827" s="81"/>
      <c r="AL827" s="81"/>
      <c r="AM827" s="81"/>
    </row>
    <row collapsed="false" customFormat="false" customHeight="true" hidden="false" ht="16.2" outlineLevel="0" r="828">
      <c r="A828" s="80"/>
      <c r="B828" s="81" t="s">
        <v>608</v>
      </c>
      <c r="C828" s="85"/>
      <c r="D828" s="85" t="s">
        <v>1054</v>
      </c>
      <c r="E828" s="83" t="s">
        <v>1037</v>
      </c>
      <c r="F828" s="49" t="s">
        <v>1036</v>
      </c>
      <c r="G828" s="85" t="s">
        <v>1042</v>
      </c>
      <c r="H828" s="85" t="n">
        <v>15</v>
      </c>
      <c r="I828" s="85" t="s">
        <v>1046</v>
      </c>
      <c r="J828" s="85" t="n">
        <v>3</v>
      </c>
      <c r="K828" s="85" t="s">
        <v>1041</v>
      </c>
      <c r="L828" s="85" t="s">
        <v>1041</v>
      </c>
      <c r="M828" s="81"/>
      <c r="N828" s="81"/>
      <c r="O828" s="96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  <c r="AC828" s="81"/>
      <c r="AD828" s="81"/>
      <c r="AE828" s="81"/>
      <c r="AF828" s="81"/>
      <c r="AG828" s="81"/>
      <c r="AH828" s="81"/>
      <c r="AI828" s="81"/>
      <c r="AJ828" s="81"/>
      <c r="AK828" s="81"/>
      <c r="AL828" s="81"/>
      <c r="AM828" s="81"/>
    </row>
    <row collapsed="false" customFormat="false" customHeight="true" hidden="false" ht="16.2" outlineLevel="0" r="829">
      <c r="A829" s="80" t="n">
        <v>428</v>
      </c>
      <c r="B829" s="81"/>
      <c r="C829" s="82" t="s">
        <v>1033</v>
      </c>
      <c r="D829" s="85"/>
      <c r="E829" s="83" t="s">
        <v>1035</v>
      </c>
      <c r="F829" s="49" t="s">
        <v>1036</v>
      </c>
      <c r="G829" s="85"/>
      <c r="H829" s="85"/>
      <c r="I829" s="85"/>
      <c r="J829" s="85"/>
      <c r="K829" s="85"/>
      <c r="L829" s="85"/>
      <c r="M829" s="81"/>
      <c r="N829" s="81"/>
      <c r="O829" s="96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  <c r="AC829" s="81"/>
      <c r="AD829" s="81"/>
      <c r="AE829" s="81"/>
      <c r="AF829" s="81"/>
      <c r="AG829" s="81"/>
      <c r="AH829" s="81"/>
      <c r="AI829" s="81"/>
      <c r="AJ829" s="81"/>
      <c r="AK829" s="81"/>
      <c r="AL829" s="81"/>
      <c r="AM829" s="81"/>
    </row>
    <row collapsed="false" customFormat="false" customHeight="true" hidden="false" ht="16.2" outlineLevel="0" r="830">
      <c r="A830" s="80"/>
      <c r="B830" s="81" t="s">
        <v>609</v>
      </c>
      <c r="C830" s="85"/>
      <c r="D830" s="85" t="s">
        <v>1054</v>
      </c>
      <c r="E830" s="83" t="s">
        <v>1037</v>
      </c>
      <c r="F830" s="49" t="s">
        <v>1036</v>
      </c>
      <c r="G830" s="85" t="s">
        <v>1042</v>
      </c>
      <c r="H830" s="85" t="n">
        <v>15</v>
      </c>
      <c r="I830" s="85" t="s">
        <v>1044</v>
      </c>
      <c r="J830" s="85" t="n">
        <v>3</v>
      </c>
      <c r="K830" s="85" t="s">
        <v>1041</v>
      </c>
      <c r="L830" s="85" t="s">
        <v>1041</v>
      </c>
      <c r="M830" s="81"/>
      <c r="N830" s="81"/>
      <c r="O830" s="96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  <c r="AC830" s="81"/>
      <c r="AD830" s="81"/>
      <c r="AE830" s="81"/>
      <c r="AF830" s="81"/>
      <c r="AG830" s="81"/>
      <c r="AH830" s="81"/>
      <c r="AI830" s="81"/>
      <c r="AJ830" s="81"/>
      <c r="AK830" s="81"/>
      <c r="AL830" s="81"/>
      <c r="AM830" s="81"/>
    </row>
    <row collapsed="false" customFormat="false" customHeight="true" hidden="false" ht="16.2" outlineLevel="0" r="831">
      <c r="A831" s="80" t="n">
        <v>429</v>
      </c>
      <c r="B831" s="81"/>
      <c r="C831" s="82" t="s">
        <v>1033</v>
      </c>
      <c r="D831" s="85"/>
      <c r="E831" s="83" t="s">
        <v>1035</v>
      </c>
      <c r="F831" s="49" t="s">
        <v>1036</v>
      </c>
      <c r="G831" s="85"/>
      <c r="H831" s="85"/>
      <c r="I831" s="85"/>
      <c r="J831" s="85"/>
      <c r="K831" s="85"/>
      <c r="L831" s="85"/>
      <c r="M831" s="81"/>
      <c r="N831" s="81"/>
      <c r="O831" s="96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  <c r="AC831" s="81"/>
      <c r="AD831" s="81"/>
      <c r="AE831" s="81"/>
      <c r="AF831" s="81"/>
      <c r="AG831" s="81"/>
      <c r="AH831" s="81"/>
      <c r="AI831" s="81"/>
      <c r="AJ831" s="81"/>
      <c r="AK831" s="81"/>
      <c r="AL831" s="81"/>
      <c r="AM831" s="81"/>
    </row>
    <row collapsed="false" customFormat="false" customHeight="true" hidden="false" ht="16.2" outlineLevel="0" r="832">
      <c r="A832" s="80"/>
      <c r="B832" s="81" t="s">
        <v>610</v>
      </c>
      <c r="C832" s="85"/>
      <c r="D832" s="85" t="s">
        <v>1054</v>
      </c>
      <c r="E832" s="83" t="s">
        <v>1037</v>
      </c>
      <c r="F832" s="49" t="s">
        <v>1036</v>
      </c>
      <c r="G832" s="85" t="s">
        <v>1039</v>
      </c>
      <c r="H832" s="85" t="n">
        <v>62</v>
      </c>
      <c r="I832" s="85" t="s">
        <v>1046</v>
      </c>
      <c r="J832" s="85" t="n">
        <v>7</v>
      </c>
      <c r="K832" s="85" t="s">
        <v>1065</v>
      </c>
      <c r="L832" s="85" t="s">
        <v>1065</v>
      </c>
      <c r="M832" s="81"/>
      <c r="N832" s="81"/>
      <c r="O832" s="96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  <c r="AC832" s="81"/>
      <c r="AD832" s="81"/>
      <c r="AE832" s="81"/>
      <c r="AF832" s="81"/>
      <c r="AG832" s="81"/>
      <c r="AH832" s="81"/>
      <c r="AI832" s="81"/>
      <c r="AJ832" s="81"/>
      <c r="AK832" s="81"/>
      <c r="AL832" s="81"/>
      <c r="AM832" s="81"/>
    </row>
    <row collapsed="false" customFormat="false" customHeight="true" hidden="false" ht="16.2" outlineLevel="0" r="833">
      <c r="A833" s="80" t="n">
        <v>430</v>
      </c>
      <c r="B833" s="81"/>
      <c r="C833" s="82" t="s">
        <v>1033</v>
      </c>
      <c r="D833" s="85"/>
      <c r="E833" s="83" t="s">
        <v>1035</v>
      </c>
      <c r="F833" s="49" t="s">
        <v>1036</v>
      </c>
      <c r="G833" s="85"/>
      <c r="H833" s="85"/>
      <c r="I833" s="85"/>
      <c r="J833" s="85"/>
      <c r="K833" s="85"/>
      <c r="L833" s="85"/>
      <c r="M833" s="81"/>
      <c r="N833" s="81"/>
      <c r="O833" s="96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  <c r="AC833" s="81"/>
      <c r="AD833" s="81"/>
      <c r="AE833" s="81"/>
      <c r="AF833" s="81"/>
      <c r="AG833" s="81"/>
      <c r="AH833" s="81"/>
      <c r="AI833" s="81"/>
      <c r="AJ833" s="81"/>
      <c r="AK833" s="81"/>
      <c r="AL833" s="81"/>
      <c r="AM833" s="81"/>
    </row>
    <row collapsed="false" customFormat="false" customHeight="true" hidden="false" ht="16.2" outlineLevel="0" r="834">
      <c r="A834" s="80"/>
      <c r="B834" s="81" t="s">
        <v>611</v>
      </c>
      <c r="C834" s="85"/>
      <c r="D834" s="85" t="s">
        <v>1054</v>
      </c>
      <c r="E834" s="83" t="s">
        <v>1037</v>
      </c>
      <c r="F834" s="49" t="s">
        <v>1036</v>
      </c>
      <c r="G834" s="85" t="s">
        <v>1039</v>
      </c>
      <c r="H834" s="85" t="n">
        <v>60</v>
      </c>
      <c r="I834" s="85" t="s">
        <v>1046</v>
      </c>
      <c r="J834" s="85" t="n">
        <v>7</v>
      </c>
      <c r="K834" s="85" t="s">
        <v>1065</v>
      </c>
      <c r="L834" s="85" t="s">
        <v>1065</v>
      </c>
      <c r="M834" s="81"/>
      <c r="N834" s="81"/>
      <c r="O834" s="96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  <c r="AC834" s="81"/>
      <c r="AD834" s="81"/>
      <c r="AE834" s="81"/>
      <c r="AF834" s="81"/>
      <c r="AG834" s="81"/>
      <c r="AH834" s="81"/>
      <c r="AI834" s="81"/>
      <c r="AJ834" s="81"/>
      <c r="AK834" s="81"/>
      <c r="AL834" s="81"/>
      <c r="AM834" s="81"/>
    </row>
    <row collapsed="false" customFormat="false" customHeight="true" hidden="false" ht="16.2" outlineLevel="0" r="835">
      <c r="A835" s="80" t="n">
        <v>431</v>
      </c>
      <c r="B835" s="81"/>
      <c r="C835" s="82" t="s">
        <v>1033</v>
      </c>
      <c r="D835" s="85"/>
      <c r="E835" s="83" t="s">
        <v>1035</v>
      </c>
      <c r="F835" s="49" t="s">
        <v>1036</v>
      </c>
      <c r="G835" s="85"/>
      <c r="H835" s="85"/>
      <c r="I835" s="85"/>
      <c r="J835" s="85"/>
      <c r="K835" s="85"/>
      <c r="L835" s="85"/>
      <c r="M835" s="81"/>
      <c r="N835" s="81"/>
      <c r="O835" s="96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  <c r="AC835" s="81"/>
      <c r="AD835" s="81"/>
      <c r="AE835" s="81"/>
      <c r="AF835" s="81"/>
      <c r="AG835" s="81"/>
      <c r="AH835" s="81"/>
      <c r="AI835" s="81"/>
      <c r="AJ835" s="81"/>
      <c r="AK835" s="81"/>
      <c r="AL835" s="81"/>
      <c r="AM835" s="81"/>
    </row>
    <row collapsed="false" customFormat="false" customHeight="true" hidden="false" ht="16.2" outlineLevel="0" r="836">
      <c r="A836" s="80"/>
      <c r="B836" s="81" t="s">
        <v>612</v>
      </c>
      <c r="C836" s="85"/>
      <c r="D836" s="85" t="s">
        <v>1054</v>
      </c>
      <c r="E836" s="83" t="s">
        <v>1037</v>
      </c>
      <c r="F836" s="49" t="s">
        <v>1036</v>
      </c>
      <c r="G836" s="85" t="s">
        <v>1039</v>
      </c>
      <c r="H836" s="85" t="n">
        <v>58</v>
      </c>
      <c r="I836" s="85" t="s">
        <v>1046</v>
      </c>
      <c r="J836" s="85" t="n">
        <v>7</v>
      </c>
      <c r="K836" s="85" t="s">
        <v>1065</v>
      </c>
      <c r="L836" s="85" t="s">
        <v>1065</v>
      </c>
      <c r="M836" s="81"/>
      <c r="N836" s="81"/>
      <c r="O836" s="96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  <c r="AC836" s="81"/>
      <c r="AD836" s="81"/>
      <c r="AE836" s="81"/>
      <c r="AF836" s="81"/>
      <c r="AG836" s="81"/>
      <c r="AH836" s="81"/>
      <c r="AI836" s="81"/>
      <c r="AJ836" s="81"/>
      <c r="AK836" s="81"/>
      <c r="AL836" s="81"/>
      <c r="AM836" s="81"/>
    </row>
    <row collapsed="false" customFormat="false" customHeight="true" hidden="false" ht="16.2" outlineLevel="0" r="837">
      <c r="A837" s="80" t="n">
        <v>432</v>
      </c>
      <c r="B837" s="81"/>
      <c r="C837" s="82" t="s">
        <v>1033</v>
      </c>
      <c r="D837" s="85"/>
      <c r="E837" s="83" t="s">
        <v>1035</v>
      </c>
      <c r="F837" s="49" t="s">
        <v>1036</v>
      </c>
      <c r="G837" s="85"/>
      <c r="H837" s="85"/>
      <c r="I837" s="85"/>
      <c r="J837" s="85"/>
      <c r="K837" s="85"/>
      <c r="L837" s="85"/>
      <c r="M837" s="81"/>
      <c r="N837" s="81"/>
      <c r="O837" s="96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  <c r="AC837" s="81"/>
      <c r="AD837" s="81"/>
      <c r="AE837" s="81"/>
      <c r="AF837" s="81"/>
      <c r="AG837" s="81"/>
      <c r="AH837" s="81"/>
      <c r="AI837" s="81"/>
      <c r="AJ837" s="81"/>
      <c r="AK837" s="81"/>
      <c r="AL837" s="81"/>
      <c r="AM837" s="81"/>
    </row>
    <row collapsed="false" customFormat="false" customHeight="true" hidden="false" ht="16.2" outlineLevel="0" r="838">
      <c r="A838" s="80"/>
      <c r="B838" s="81" t="s">
        <v>613</v>
      </c>
      <c r="C838" s="85"/>
      <c r="D838" s="85" t="s">
        <v>1054</v>
      </c>
      <c r="E838" s="83" t="s">
        <v>1037</v>
      </c>
      <c r="F838" s="49" t="s">
        <v>1036</v>
      </c>
      <c r="G838" s="85" t="s">
        <v>1039</v>
      </c>
      <c r="H838" s="85" t="n">
        <v>52</v>
      </c>
      <c r="I838" s="85" t="s">
        <v>1046</v>
      </c>
      <c r="J838" s="85" t="n">
        <v>7</v>
      </c>
      <c r="K838" s="85" t="s">
        <v>1065</v>
      </c>
      <c r="L838" s="85" t="s">
        <v>1065</v>
      </c>
      <c r="M838" s="81"/>
      <c r="N838" s="81"/>
      <c r="O838" s="96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  <c r="AC838" s="81"/>
      <c r="AD838" s="81"/>
      <c r="AE838" s="81"/>
      <c r="AF838" s="81"/>
      <c r="AG838" s="81"/>
      <c r="AH838" s="81"/>
      <c r="AI838" s="81"/>
      <c r="AJ838" s="81"/>
      <c r="AK838" s="81"/>
      <c r="AL838" s="81"/>
      <c r="AM838" s="81"/>
    </row>
    <row collapsed="false" customFormat="false" customHeight="true" hidden="false" ht="16.2" outlineLevel="0" r="839">
      <c r="A839" s="80" t="n">
        <v>433</v>
      </c>
      <c r="B839" s="81" t="s">
        <v>615</v>
      </c>
      <c r="C839" s="82" t="s">
        <v>1033</v>
      </c>
      <c r="D839" s="82" t="s">
        <v>1034</v>
      </c>
      <c r="E839" s="83" t="s">
        <v>1035</v>
      </c>
      <c r="F839" s="84" t="s">
        <v>1036</v>
      </c>
      <c r="G839" s="85"/>
      <c r="H839" s="85"/>
      <c r="I839" s="85"/>
      <c r="J839" s="85"/>
      <c r="K839" s="86" t="s">
        <v>53</v>
      </c>
      <c r="L839" s="86" t="s">
        <v>53</v>
      </c>
      <c r="M839" s="90"/>
      <c r="N839" s="90"/>
      <c r="O839" s="90"/>
      <c r="P839" s="90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  <c r="AC839" s="81"/>
      <c r="AD839" s="81"/>
      <c r="AE839" s="90"/>
      <c r="AF839" s="81"/>
      <c r="AG839" s="81"/>
      <c r="AH839" s="81"/>
      <c r="AI839" s="81"/>
      <c r="AJ839" s="81"/>
      <c r="AK839" s="81"/>
      <c r="AL839" s="81"/>
      <c r="AM839" s="81" t="n">
        <f aca="false">O839+Q839+S839+U839+W839+Y839+AA839+AC839+AE839+AG839+AI839+AK839</f>
        <v>0</v>
      </c>
    </row>
    <row collapsed="false" customFormat="false" customHeight="true" hidden="false" ht="16.2" outlineLevel="0" r="840">
      <c r="A840" s="80"/>
      <c r="B840" s="89"/>
      <c r="C840" s="85"/>
      <c r="D840" s="85"/>
      <c r="E840" s="83" t="s">
        <v>1037</v>
      </c>
      <c r="F840" s="84" t="s">
        <v>1036</v>
      </c>
      <c r="G840" s="85"/>
      <c r="H840" s="85"/>
      <c r="I840" s="85"/>
      <c r="J840" s="85"/>
      <c r="K840" s="86"/>
      <c r="L840" s="86"/>
      <c r="M840" s="90" t="n">
        <f aca="false">362+211</f>
        <v>573</v>
      </c>
      <c r="N840" s="91" t="n">
        <f aca="false">339+221</f>
        <v>560</v>
      </c>
      <c r="O840" s="90" t="n">
        <v>81</v>
      </c>
      <c r="P840" s="90" t="s">
        <v>1005</v>
      </c>
      <c r="Q840" s="81" t="n">
        <v>81</v>
      </c>
      <c r="R840" s="81"/>
      <c r="S840" s="81" t="n">
        <v>68</v>
      </c>
      <c r="T840" s="81" t="s">
        <v>1005</v>
      </c>
      <c r="U840" s="81" t="n">
        <v>55</v>
      </c>
      <c r="V840" s="81" t="s">
        <v>1005</v>
      </c>
      <c r="W840" s="81" t="n">
        <v>71</v>
      </c>
      <c r="X840" s="81" t="s">
        <v>1005</v>
      </c>
      <c r="Y840" s="81" t="n">
        <v>49</v>
      </c>
      <c r="Z840" s="81" t="s">
        <v>1005</v>
      </c>
      <c r="AA840" s="81" t="n">
        <v>26</v>
      </c>
      <c r="AB840" s="81" t="s">
        <v>1005</v>
      </c>
      <c r="AC840" s="81" t="n">
        <v>49</v>
      </c>
      <c r="AD840" s="81" t="s">
        <v>1005</v>
      </c>
      <c r="AE840" s="90" t="n">
        <v>49</v>
      </c>
      <c r="AF840" s="81" t="s">
        <v>1005</v>
      </c>
      <c r="AG840" s="81" t="n">
        <f aca="false">25+21</f>
        <v>46</v>
      </c>
      <c r="AH840" s="81" t="s">
        <v>1005</v>
      </c>
      <c r="AI840" s="81" t="n">
        <f aca="false">35+23</f>
        <v>58</v>
      </c>
      <c r="AJ840" s="81" t="s">
        <v>1005</v>
      </c>
      <c r="AK840" s="81" t="n">
        <f aca="false">62+40</f>
        <v>102</v>
      </c>
      <c r="AL840" s="81" t="s">
        <v>1005</v>
      </c>
      <c r="AM840" s="81" t="n">
        <f aca="false">O840+Q840+S840+U840+W840+Y840+AA840+AC840+AE840+AG840+AI840+AK840</f>
        <v>735</v>
      </c>
    </row>
    <row collapsed="false" customFormat="false" customHeight="true" hidden="false" ht="16.2" outlineLevel="0" r="841">
      <c r="A841" s="80" t="n">
        <v>434</v>
      </c>
      <c r="B841" s="81"/>
      <c r="C841" s="82" t="s">
        <v>1033</v>
      </c>
      <c r="D841" s="85"/>
      <c r="E841" s="83" t="s">
        <v>1035</v>
      </c>
      <c r="F841" s="49"/>
      <c r="G841" s="85"/>
      <c r="H841" s="85"/>
      <c r="I841" s="85"/>
      <c r="J841" s="85"/>
      <c r="K841" s="85"/>
      <c r="L841" s="85"/>
      <c r="M841" s="81"/>
      <c r="N841" s="81"/>
      <c r="O841" s="96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  <c r="AC841" s="81"/>
      <c r="AD841" s="81"/>
      <c r="AE841" s="81"/>
      <c r="AF841" s="81"/>
      <c r="AG841" s="81"/>
      <c r="AH841" s="81"/>
      <c r="AI841" s="81"/>
      <c r="AJ841" s="81"/>
      <c r="AK841" s="81"/>
      <c r="AL841" s="81"/>
      <c r="AM841" s="81"/>
    </row>
    <row collapsed="false" customFormat="false" customHeight="true" hidden="false" ht="16.2" outlineLevel="0" r="842">
      <c r="A842" s="80"/>
      <c r="B842" s="81" t="s">
        <v>617</v>
      </c>
      <c r="C842" s="85"/>
      <c r="D842" s="85" t="s">
        <v>1054</v>
      </c>
      <c r="E842" s="83" t="s">
        <v>1037</v>
      </c>
      <c r="F842" s="49" t="s">
        <v>1036</v>
      </c>
      <c r="G842" s="85" t="s">
        <v>1042</v>
      </c>
      <c r="H842" s="85" t="n">
        <v>6</v>
      </c>
      <c r="I842" s="85" t="s">
        <v>1039</v>
      </c>
      <c r="J842" s="85" t="n">
        <v>3</v>
      </c>
      <c r="K842" s="85" t="s">
        <v>1041</v>
      </c>
      <c r="L842" s="85" t="s">
        <v>1041</v>
      </c>
      <c r="M842" s="81" t="n">
        <v>492</v>
      </c>
      <c r="N842" s="81"/>
      <c r="O842" s="96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  <c r="AC842" s="81"/>
      <c r="AD842" s="81"/>
      <c r="AE842" s="81"/>
      <c r="AF842" s="81"/>
      <c r="AG842" s="81"/>
      <c r="AH842" s="81"/>
      <c r="AI842" s="81"/>
      <c r="AJ842" s="81"/>
      <c r="AK842" s="81"/>
      <c r="AL842" s="81"/>
      <c r="AM842" s="81"/>
    </row>
    <row collapsed="false" customFormat="false" customHeight="true" hidden="false" ht="16.2" outlineLevel="0" r="843">
      <c r="A843" s="80" t="n">
        <v>435</v>
      </c>
      <c r="B843" s="81"/>
      <c r="C843" s="82" t="s">
        <v>1033</v>
      </c>
      <c r="D843" s="85"/>
      <c r="E843" s="83" t="s">
        <v>1035</v>
      </c>
      <c r="F843" s="49" t="s">
        <v>1036</v>
      </c>
      <c r="G843" s="85"/>
      <c r="H843" s="85"/>
      <c r="I843" s="85"/>
      <c r="J843" s="85"/>
      <c r="K843" s="85"/>
      <c r="L843" s="85"/>
      <c r="M843" s="81"/>
      <c r="N843" s="81"/>
      <c r="O843" s="96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  <c r="AC843" s="81"/>
      <c r="AD843" s="81"/>
      <c r="AE843" s="81"/>
      <c r="AF843" s="81"/>
      <c r="AG843" s="81"/>
      <c r="AH843" s="81"/>
      <c r="AI843" s="81"/>
      <c r="AJ843" s="81"/>
      <c r="AK843" s="81"/>
      <c r="AL843" s="81"/>
      <c r="AM843" s="81"/>
    </row>
    <row collapsed="false" customFormat="false" customHeight="true" hidden="false" ht="16.2" outlineLevel="0" r="844">
      <c r="A844" s="80"/>
      <c r="B844" s="81" t="s">
        <v>618</v>
      </c>
      <c r="C844" s="85"/>
      <c r="D844" s="85" t="s">
        <v>1054</v>
      </c>
      <c r="E844" s="83" t="s">
        <v>1037</v>
      </c>
      <c r="F844" s="49" t="s">
        <v>1036</v>
      </c>
      <c r="G844" s="85" t="s">
        <v>1042</v>
      </c>
      <c r="H844" s="85" t="n">
        <v>10</v>
      </c>
      <c r="I844" s="85" t="s">
        <v>1039</v>
      </c>
      <c r="J844" s="85" t="n">
        <v>1</v>
      </c>
      <c r="K844" s="85" t="s">
        <v>1041</v>
      </c>
      <c r="L844" s="85" t="s">
        <v>1041</v>
      </c>
      <c r="M844" s="81" t="n">
        <v>2850</v>
      </c>
      <c r="N844" s="81"/>
      <c r="O844" s="96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  <c r="AC844" s="81"/>
      <c r="AD844" s="81"/>
      <c r="AE844" s="81"/>
      <c r="AF844" s="81"/>
      <c r="AG844" s="81"/>
      <c r="AH844" s="81"/>
      <c r="AI844" s="81"/>
      <c r="AJ844" s="81"/>
      <c r="AK844" s="81"/>
      <c r="AL844" s="81"/>
      <c r="AM844" s="81"/>
    </row>
    <row collapsed="false" customFormat="false" customHeight="true" hidden="false" ht="16.2" outlineLevel="0" r="845">
      <c r="A845" s="80" t="n">
        <v>436</v>
      </c>
      <c r="B845" s="81"/>
      <c r="C845" s="82" t="s">
        <v>1033</v>
      </c>
      <c r="D845" s="85"/>
      <c r="E845" s="83" t="s">
        <v>1035</v>
      </c>
      <c r="F845" s="49" t="s">
        <v>1036</v>
      </c>
      <c r="G845" s="85"/>
      <c r="H845" s="85"/>
      <c r="I845" s="85"/>
      <c r="J845" s="85"/>
      <c r="K845" s="85"/>
      <c r="L845" s="85"/>
      <c r="M845" s="81"/>
      <c r="N845" s="81"/>
      <c r="O845" s="96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  <c r="AC845" s="81"/>
      <c r="AD845" s="81"/>
      <c r="AE845" s="81"/>
      <c r="AF845" s="81"/>
      <c r="AG845" s="81"/>
      <c r="AH845" s="81"/>
      <c r="AI845" s="81"/>
      <c r="AJ845" s="81"/>
      <c r="AK845" s="81"/>
      <c r="AL845" s="81"/>
      <c r="AM845" s="81"/>
    </row>
    <row collapsed="false" customFormat="false" customHeight="true" hidden="false" ht="16.2" outlineLevel="0" r="846">
      <c r="A846" s="80"/>
      <c r="B846" s="81" t="s">
        <v>620</v>
      </c>
      <c r="C846" s="85"/>
      <c r="D846" s="85" t="s">
        <v>1054</v>
      </c>
      <c r="E846" s="83" t="s">
        <v>1037</v>
      </c>
      <c r="F846" s="49" t="s">
        <v>1036</v>
      </c>
      <c r="G846" s="85" t="s">
        <v>1042</v>
      </c>
      <c r="H846" s="85" t="n">
        <v>15</v>
      </c>
      <c r="I846" s="85" t="s">
        <v>1039</v>
      </c>
      <c r="J846" s="85" t="n">
        <v>3</v>
      </c>
      <c r="K846" s="85" t="s">
        <v>1041</v>
      </c>
      <c r="L846" s="85" t="s">
        <v>1041</v>
      </c>
      <c r="M846" s="81" t="n">
        <v>654</v>
      </c>
      <c r="N846" s="81"/>
      <c r="O846" s="96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  <c r="AC846" s="81"/>
      <c r="AD846" s="81"/>
      <c r="AE846" s="81"/>
      <c r="AF846" s="81"/>
      <c r="AG846" s="81"/>
      <c r="AH846" s="81"/>
      <c r="AI846" s="81"/>
      <c r="AJ846" s="81"/>
      <c r="AK846" s="81"/>
      <c r="AL846" s="81"/>
      <c r="AM846" s="81"/>
    </row>
    <row collapsed="false" customFormat="false" customHeight="true" hidden="false" ht="16.2" outlineLevel="0" r="847">
      <c r="A847" s="80" t="n">
        <v>437</v>
      </c>
      <c r="B847" s="81"/>
      <c r="C847" s="82" t="s">
        <v>1033</v>
      </c>
      <c r="D847" s="85"/>
      <c r="E847" s="83" t="s">
        <v>1035</v>
      </c>
      <c r="F847" s="49" t="s">
        <v>1036</v>
      </c>
      <c r="G847" s="85"/>
      <c r="H847" s="85"/>
      <c r="I847" s="85"/>
      <c r="J847" s="85"/>
      <c r="K847" s="85"/>
      <c r="L847" s="85"/>
      <c r="M847" s="81"/>
      <c r="N847" s="81"/>
      <c r="O847" s="96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  <c r="AC847" s="81"/>
      <c r="AD847" s="81"/>
      <c r="AE847" s="81"/>
      <c r="AF847" s="81"/>
      <c r="AG847" s="81"/>
      <c r="AH847" s="81"/>
      <c r="AI847" s="81"/>
      <c r="AJ847" s="81"/>
      <c r="AK847" s="81"/>
      <c r="AL847" s="81"/>
      <c r="AM847" s="81"/>
    </row>
    <row collapsed="false" customFormat="false" customHeight="true" hidden="false" ht="16.2" outlineLevel="0" r="848">
      <c r="A848" s="80"/>
      <c r="B848" s="81" t="s">
        <v>622</v>
      </c>
      <c r="C848" s="85"/>
      <c r="D848" s="85" t="s">
        <v>1054</v>
      </c>
      <c r="E848" s="83" t="s">
        <v>1037</v>
      </c>
      <c r="F848" s="49" t="s">
        <v>1036</v>
      </c>
      <c r="G848" s="85" t="s">
        <v>1059</v>
      </c>
      <c r="H848" s="85" t="n">
        <v>12</v>
      </c>
      <c r="I848" s="85" t="s">
        <v>1050</v>
      </c>
      <c r="J848" s="85" t="n">
        <v>2</v>
      </c>
      <c r="K848" s="85" t="s">
        <v>1041</v>
      </c>
      <c r="L848" s="85" t="s">
        <v>1041</v>
      </c>
      <c r="M848" s="81" t="n">
        <v>2100</v>
      </c>
      <c r="N848" s="81"/>
      <c r="O848" s="96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  <c r="AC848" s="81"/>
      <c r="AD848" s="81"/>
      <c r="AE848" s="81"/>
      <c r="AF848" s="81"/>
      <c r="AG848" s="81"/>
      <c r="AH848" s="81"/>
      <c r="AI848" s="81"/>
      <c r="AJ848" s="81"/>
      <c r="AK848" s="81"/>
      <c r="AL848" s="81"/>
      <c r="AM848" s="81"/>
    </row>
    <row collapsed="false" customFormat="false" customHeight="true" hidden="false" ht="16.2" outlineLevel="0" r="849">
      <c r="A849" s="80" t="n">
        <v>438</v>
      </c>
      <c r="B849" s="81"/>
      <c r="C849" s="82" t="s">
        <v>1033</v>
      </c>
      <c r="D849" s="85"/>
      <c r="E849" s="83" t="s">
        <v>1035</v>
      </c>
      <c r="F849" s="49" t="s">
        <v>1036</v>
      </c>
      <c r="G849" s="85"/>
      <c r="H849" s="85"/>
      <c r="I849" s="85"/>
      <c r="J849" s="85"/>
      <c r="K849" s="85"/>
      <c r="L849" s="85"/>
      <c r="M849" s="81"/>
      <c r="N849" s="81"/>
      <c r="O849" s="96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  <c r="AC849" s="81"/>
      <c r="AD849" s="81"/>
      <c r="AE849" s="81"/>
      <c r="AF849" s="81"/>
      <c r="AG849" s="81"/>
      <c r="AH849" s="81"/>
      <c r="AI849" s="81"/>
      <c r="AJ849" s="81"/>
      <c r="AK849" s="81"/>
      <c r="AL849" s="81"/>
      <c r="AM849" s="81"/>
    </row>
    <row collapsed="false" customFormat="false" customHeight="true" hidden="false" ht="16.2" outlineLevel="0" r="850">
      <c r="A850" s="80"/>
      <c r="B850" s="81" t="s">
        <v>623</v>
      </c>
      <c r="C850" s="85"/>
      <c r="D850" s="85" t="s">
        <v>1054</v>
      </c>
      <c r="E850" s="83" t="s">
        <v>1037</v>
      </c>
      <c r="F850" s="49" t="s">
        <v>1036</v>
      </c>
      <c r="G850" s="85" t="s">
        <v>1059</v>
      </c>
      <c r="H850" s="85" t="n">
        <v>14</v>
      </c>
      <c r="I850" s="85" t="s">
        <v>1059</v>
      </c>
      <c r="J850" s="85" t="n">
        <v>4</v>
      </c>
      <c r="K850" s="85" t="s">
        <v>1041</v>
      </c>
      <c r="L850" s="85" t="s">
        <v>1041</v>
      </c>
      <c r="M850" s="81" t="n">
        <v>1680</v>
      </c>
      <c r="N850" s="81"/>
      <c r="O850" s="96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  <c r="AC850" s="81"/>
      <c r="AD850" s="81"/>
      <c r="AE850" s="81"/>
      <c r="AF850" s="81"/>
      <c r="AG850" s="81"/>
      <c r="AH850" s="81"/>
      <c r="AI850" s="81"/>
      <c r="AJ850" s="81"/>
      <c r="AK850" s="81"/>
      <c r="AL850" s="81"/>
      <c r="AM850" s="81"/>
    </row>
    <row collapsed="false" customFormat="false" customHeight="true" hidden="false" ht="16.2" outlineLevel="0" r="851">
      <c r="A851" s="80" t="n">
        <v>439</v>
      </c>
      <c r="B851" s="81"/>
      <c r="C851" s="82" t="s">
        <v>1033</v>
      </c>
      <c r="D851" s="85"/>
      <c r="E851" s="83" t="s">
        <v>1035</v>
      </c>
      <c r="F851" s="49" t="s">
        <v>1036</v>
      </c>
      <c r="G851" s="85"/>
      <c r="H851" s="85"/>
      <c r="I851" s="85"/>
      <c r="J851" s="85"/>
      <c r="K851" s="85"/>
      <c r="L851" s="85"/>
      <c r="M851" s="81"/>
      <c r="N851" s="81"/>
      <c r="O851" s="96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  <c r="AC851" s="81"/>
      <c r="AD851" s="81"/>
      <c r="AE851" s="81"/>
      <c r="AF851" s="81"/>
      <c r="AG851" s="81"/>
      <c r="AH851" s="81"/>
      <c r="AI851" s="81"/>
      <c r="AJ851" s="81"/>
      <c r="AK851" s="81"/>
      <c r="AL851" s="81"/>
      <c r="AM851" s="81"/>
    </row>
    <row collapsed="false" customFormat="false" customHeight="true" hidden="false" ht="16.2" outlineLevel="0" r="852">
      <c r="A852" s="80"/>
      <c r="B852" s="81" t="s">
        <v>624</v>
      </c>
      <c r="C852" s="85"/>
      <c r="D852" s="85" t="s">
        <v>1054</v>
      </c>
      <c r="E852" s="83" t="s">
        <v>1037</v>
      </c>
      <c r="F852" s="49" t="s">
        <v>1036</v>
      </c>
      <c r="G852" s="85" t="s">
        <v>1042</v>
      </c>
      <c r="H852" s="85" t="n">
        <v>15</v>
      </c>
      <c r="I852" s="85" t="s">
        <v>1050</v>
      </c>
      <c r="J852" s="85" t="n">
        <v>2</v>
      </c>
      <c r="K852" s="85" t="s">
        <v>1041</v>
      </c>
      <c r="L852" s="85" t="s">
        <v>1041</v>
      </c>
      <c r="M852" s="81" t="n">
        <v>1644</v>
      </c>
      <c r="N852" s="81"/>
      <c r="O852" s="96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  <c r="AC852" s="81"/>
      <c r="AD852" s="81"/>
      <c r="AE852" s="81"/>
      <c r="AF852" s="81"/>
      <c r="AG852" s="81"/>
      <c r="AH852" s="81"/>
      <c r="AI852" s="81"/>
      <c r="AJ852" s="81"/>
      <c r="AK852" s="81"/>
      <c r="AL852" s="81"/>
      <c r="AM852" s="81"/>
    </row>
    <row collapsed="false" customFormat="false" customHeight="true" hidden="false" ht="16.2" outlineLevel="0" r="853">
      <c r="A853" s="80" t="n">
        <v>440</v>
      </c>
      <c r="B853" s="81"/>
      <c r="C853" s="82" t="s">
        <v>1033</v>
      </c>
      <c r="D853" s="85"/>
      <c r="E853" s="83" t="s">
        <v>1035</v>
      </c>
      <c r="F853" s="49" t="s">
        <v>1036</v>
      </c>
      <c r="G853" s="85"/>
      <c r="H853" s="85"/>
      <c r="I853" s="85"/>
      <c r="J853" s="85"/>
      <c r="K853" s="85"/>
      <c r="L853" s="85"/>
      <c r="M853" s="81"/>
      <c r="N853" s="81"/>
      <c r="O853" s="96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  <c r="AC853" s="81"/>
      <c r="AD853" s="81"/>
      <c r="AE853" s="81"/>
      <c r="AF853" s="81"/>
      <c r="AG853" s="81"/>
      <c r="AH853" s="81"/>
      <c r="AI853" s="81"/>
      <c r="AJ853" s="81"/>
      <c r="AK853" s="81"/>
      <c r="AL853" s="81"/>
      <c r="AM853" s="81"/>
    </row>
    <row collapsed="false" customFormat="false" customHeight="true" hidden="false" ht="16.2" outlineLevel="0" r="854">
      <c r="A854" s="80"/>
      <c r="B854" s="81" t="s">
        <v>625</v>
      </c>
      <c r="C854" s="85"/>
      <c r="D854" s="85" t="s">
        <v>1054</v>
      </c>
      <c r="E854" s="83" t="s">
        <v>1037</v>
      </c>
      <c r="F854" s="49" t="s">
        <v>1036</v>
      </c>
      <c r="G854" s="85" t="s">
        <v>1039</v>
      </c>
      <c r="H854" s="85" t="n">
        <v>20</v>
      </c>
      <c r="I854" s="85" t="s">
        <v>1059</v>
      </c>
      <c r="J854" s="85" t="n">
        <v>3</v>
      </c>
      <c r="K854" s="85" t="s">
        <v>1041</v>
      </c>
      <c r="L854" s="85" t="s">
        <v>1041</v>
      </c>
      <c r="M854" s="81" t="n">
        <v>426</v>
      </c>
      <c r="N854" s="81"/>
      <c r="O854" s="96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  <c r="AC854" s="81"/>
      <c r="AD854" s="81"/>
      <c r="AE854" s="81"/>
      <c r="AF854" s="81"/>
      <c r="AG854" s="81"/>
      <c r="AH854" s="81"/>
      <c r="AI854" s="81"/>
      <c r="AJ854" s="81"/>
      <c r="AK854" s="81"/>
      <c r="AL854" s="81"/>
      <c r="AM854" s="81"/>
    </row>
    <row collapsed="false" customFormat="false" customHeight="true" hidden="false" ht="16.2" outlineLevel="0" r="855">
      <c r="A855" s="80" t="n">
        <v>441</v>
      </c>
      <c r="B855" s="81"/>
      <c r="C855" s="82" t="s">
        <v>1033</v>
      </c>
      <c r="D855" s="85"/>
      <c r="E855" s="83" t="s">
        <v>1035</v>
      </c>
      <c r="F855" s="49" t="s">
        <v>1036</v>
      </c>
      <c r="G855" s="85"/>
      <c r="H855" s="85"/>
      <c r="I855" s="85"/>
      <c r="J855" s="85"/>
      <c r="K855" s="85"/>
      <c r="L855" s="85"/>
      <c r="M855" s="81"/>
      <c r="N855" s="81"/>
      <c r="O855" s="96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  <c r="AC855" s="81"/>
      <c r="AD855" s="81"/>
      <c r="AE855" s="81"/>
      <c r="AF855" s="81"/>
      <c r="AG855" s="81"/>
      <c r="AH855" s="81"/>
      <c r="AI855" s="81"/>
      <c r="AJ855" s="81"/>
      <c r="AK855" s="81"/>
      <c r="AL855" s="81"/>
      <c r="AM855" s="81"/>
    </row>
    <row collapsed="false" customFormat="false" customHeight="true" hidden="false" ht="16.2" outlineLevel="0" r="856">
      <c r="A856" s="80"/>
      <c r="B856" s="81" t="s">
        <v>626</v>
      </c>
      <c r="C856" s="85"/>
      <c r="D856" s="85" t="s">
        <v>1054</v>
      </c>
      <c r="E856" s="83" t="s">
        <v>1037</v>
      </c>
      <c r="F856" s="49" t="s">
        <v>1036</v>
      </c>
      <c r="G856" s="85" t="s">
        <v>1039</v>
      </c>
      <c r="H856" s="85" t="n">
        <v>32</v>
      </c>
      <c r="I856" s="85" t="s">
        <v>1050</v>
      </c>
      <c r="J856" s="85" t="n">
        <v>8</v>
      </c>
      <c r="K856" s="85" t="s">
        <v>1041</v>
      </c>
      <c r="L856" s="85" t="s">
        <v>1041</v>
      </c>
      <c r="M856" s="81" t="n">
        <v>7788</v>
      </c>
      <c r="N856" s="81"/>
      <c r="O856" s="96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  <c r="AC856" s="81"/>
      <c r="AD856" s="81"/>
      <c r="AE856" s="81"/>
      <c r="AF856" s="81"/>
      <c r="AG856" s="81"/>
      <c r="AH856" s="81"/>
      <c r="AI856" s="81"/>
      <c r="AJ856" s="81"/>
      <c r="AK856" s="81"/>
      <c r="AL856" s="81"/>
      <c r="AM856" s="81"/>
    </row>
    <row collapsed="false" customFormat="false" customHeight="true" hidden="false" ht="16.2" outlineLevel="0" r="857">
      <c r="A857" s="80" t="n">
        <v>442</v>
      </c>
      <c r="B857" s="81"/>
      <c r="C857" s="82" t="s">
        <v>1033</v>
      </c>
      <c r="D857" s="85"/>
      <c r="E857" s="83" t="s">
        <v>1035</v>
      </c>
      <c r="F857" s="49" t="s">
        <v>1036</v>
      </c>
      <c r="G857" s="85"/>
      <c r="H857" s="85"/>
      <c r="I857" s="85"/>
      <c r="J857" s="85"/>
      <c r="K857" s="85"/>
      <c r="L857" s="85"/>
      <c r="M857" s="81"/>
      <c r="N857" s="81"/>
      <c r="O857" s="96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  <c r="AC857" s="81"/>
      <c r="AD857" s="81"/>
      <c r="AE857" s="81"/>
      <c r="AF857" s="81"/>
      <c r="AG857" s="81"/>
      <c r="AH857" s="81"/>
      <c r="AI857" s="81"/>
      <c r="AJ857" s="81"/>
      <c r="AK857" s="81"/>
      <c r="AL857" s="81"/>
      <c r="AM857" s="81"/>
    </row>
    <row collapsed="false" customFormat="false" customHeight="true" hidden="false" ht="16.2" outlineLevel="0" r="858">
      <c r="A858" s="80"/>
      <c r="B858" s="81" t="s">
        <v>627</v>
      </c>
      <c r="C858" s="85"/>
      <c r="D858" s="85" t="s">
        <v>1054</v>
      </c>
      <c r="E858" s="83" t="s">
        <v>1037</v>
      </c>
      <c r="F858" s="49" t="s">
        <v>1036</v>
      </c>
      <c r="G858" s="85" t="s">
        <v>1039</v>
      </c>
      <c r="H858" s="85" t="n">
        <v>32</v>
      </c>
      <c r="I858" s="85" t="s">
        <v>1050</v>
      </c>
      <c r="J858" s="85" t="n">
        <v>7</v>
      </c>
      <c r="K858" s="85" t="s">
        <v>1041</v>
      </c>
      <c r="L858" s="85" t="s">
        <v>1041</v>
      </c>
      <c r="M858" s="81" t="n">
        <v>10662</v>
      </c>
      <c r="N858" s="81"/>
      <c r="O858" s="96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  <c r="AC858" s="81"/>
      <c r="AD858" s="81"/>
      <c r="AE858" s="81"/>
      <c r="AF858" s="81"/>
      <c r="AG858" s="81"/>
      <c r="AH858" s="81"/>
      <c r="AI858" s="81"/>
      <c r="AJ858" s="81"/>
      <c r="AK858" s="81"/>
      <c r="AL858" s="81"/>
      <c r="AM858" s="81"/>
    </row>
    <row collapsed="false" customFormat="false" customHeight="true" hidden="false" ht="16.2" outlineLevel="0" r="859">
      <c r="A859" s="80" t="n">
        <v>443</v>
      </c>
      <c r="B859" s="81"/>
      <c r="C859" s="82" t="s">
        <v>1033</v>
      </c>
      <c r="D859" s="85"/>
      <c r="E859" s="83" t="s">
        <v>1035</v>
      </c>
      <c r="F859" s="49" t="s">
        <v>1036</v>
      </c>
      <c r="G859" s="85"/>
      <c r="H859" s="85"/>
      <c r="I859" s="85"/>
      <c r="J859" s="85"/>
      <c r="K859" s="85"/>
      <c r="L859" s="85"/>
      <c r="M859" s="81"/>
      <c r="N859" s="81"/>
      <c r="O859" s="96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  <c r="AC859" s="81"/>
      <c r="AD859" s="81"/>
      <c r="AE859" s="81"/>
      <c r="AF859" s="81"/>
      <c r="AG859" s="81"/>
      <c r="AH859" s="81"/>
      <c r="AI859" s="81"/>
      <c r="AJ859" s="81"/>
      <c r="AK859" s="81"/>
      <c r="AL859" s="81"/>
      <c r="AM859" s="81"/>
    </row>
    <row collapsed="false" customFormat="false" customHeight="true" hidden="false" ht="16.2" outlineLevel="0" r="860">
      <c r="A860" s="80"/>
      <c r="B860" s="81" t="s">
        <v>628</v>
      </c>
      <c r="C860" s="85"/>
      <c r="D860" s="85" t="s">
        <v>1054</v>
      </c>
      <c r="E860" s="83" t="s">
        <v>1037</v>
      </c>
      <c r="F860" s="49" t="s">
        <v>1036</v>
      </c>
      <c r="G860" s="85" t="s">
        <v>1039</v>
      </c>
      <c r="H860" s="85" t="n">
        <v>3</v>
      </c>
      <c r="I860" s="85" t="s">
        <v>1050</v>
      </c>
      <c r="J860" s="85" t="n">
        <v>1</v>
      </c>
      <c r="K860" s="85" t="s">
        <v>1041</v>
      </c>
      <c r="L860" s="85" t="s">
        <v>1041</v>
      </c>
      <c r="M860" s="81" t="n">
        <v>0</v>
      </c>
      <c r="N860" s="81"/>
      <c r="O860" s="96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  <c r="AC860" s="81"/>
      <c r="AD860" s="81"/>
      <c r="AE860" s="81"/>
      <c r="AF860" s="81"/>
      <c r="AG860" s="81"/>
      <c r="AH860" s="81"/>
      <c r="AI860" s="81"/>
      <c r="AJ860" s="81"/>
      <c r="AK860" s="81"/>
      <c r="AL860" s="81"/>
      <c r="AM860" s="81"/>
    </row>
    <row collapsed="false" customFormat="false" customHeight="true" hidden="false" ht="16.2" outlineLevel="0" r="861">
      <c r="A861" s="80" t="n">
        <v>444</v>
      </c>
      <c r="B861" s="81"/>
      <c r="C861" s="82" t="s">
        <v>1033</v>
      </c>
      <c r="D861" s="85"/>
      <c r="E861" s="83" t="s">
        <v>1035</v>
      </c>
      <c r="F861" s="49" t="s">
        <v>1036</v>
      </c>
      <c r="G861" s="85"/>
      <c r="H861" s="85"/>
      <c r="I861" s="85"/>
      <c r="J861" s="85"/>
      <c r="K861" s="85"/>
      <c r="L861" s="85"/>
      <c r="M861" s="81"/>
      <c r="N861" s="81"/>
      <c r="O861" s="96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  <c r="AC861" s="81"/>
      <c r="AD861" s="81"/>
      <c r="AE861" s="81"/>
      <c r="AF861" s="81"/>
      <c r="AG861" s="81"/>
      <c r="AH861" s="81"/>
      <c r="AI861" s="81"/>
      <c r="AJ861" s="81"/>
      <c r="AK861" s="81"/>
      <c r="AL861" s="81"/>
      <c r="AM861" s="81"/>
    </row>
    <row collapsed="false" customFormat="false" customHeight="true" hidden="false" ht="16.2" outlineLevel="0" r="862">
      <c r="A862" s="80"/>
      <c r="B862" s="81" t="s">
        <v>629</v>
      </c>
      <c r="C862" s="85"/>
      <c r="D862" s="85" t="s">
        <v>1054</v>
      </c>
      <c r="E862" s="83" t="s">
        <v>1037</v>
      </c>
      <c r="F862" s="49" t="s">
        <v>1036</v>
      </c>
      <c r="G862" s="85" t="s">
        <v>1039</v>
      </c>
      <c r="H862" s="85" t="n">
        <v>15</v>
      </c>
      <c r="I862" s="85" t="s">
        <v>1050</v>
      </c>
      <c r="J862" s="85" t="n">
        <v>3</v>
      </c>
      <c r="K862" s="85" t="s">
        <v>1041</v>
      </c>
      <c r="L862" s="85" t="s">
        <v>1041</v>
      </c>
      <c r="M862" s="81" t="n">
        <v>0</v>
      </c>
      <c r="N862" s="81"/>
      <c r="O862" s="96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  <c r="AC862" s="81"/>
      <c r="AD862" s="81"/>
      <c r="AE862" s="81"/>
      <c r="AF862" s="81"/>
      <c r="AG862" s="81"/>
      <c r="AH862" s="81"/>
      <c r="AI862" s="81"/>
      <c r="AJ862" s="81"/>
      <c r="AK862" s="81"/>
      <c r="AL862" s="81"/>
      <c r="AM862" s="81"/>
    </row>
    <row collapsed="false" customFormat="false" customHeight="true" hidden="false" ht="16.2" outlineLevel="0" r="863">
      <c r="A863" s="80" t="n">
        <v>445</v>
      </c>
      <c r="B863" s="81"/>
      <c r="C863" s="82" t="s">
        <v>1033</v>
      </c>
      <c r="D863" s="85"/>
      <c r="E863" s="83" t="s">
        <v>1035</v>
      </c>
      <c r="F863" s="49" t="s">
        <v>1036</v>
      </c>
      <c r="G863" s="85"/>
      <c r="H863" s="85"/>
      <c r="I863" s="85"/>
      <c r="J863" s="85"/>
      <c r="K863" s="85"/>
      <c r="L863" s="85"/>
      <c r="M863" s="81"/>
      <c r="N863" s="81"/>
      <c r="O863" s="96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  <c r="AC863" s="81"/>
      <c r="AD863" s="81"/>
      <c r="AE863" s="81"/>
      <c r="AF863" s="81"/>
      <c r="AG863" s="81"/>
      <c r="AH863" s="81"/>
      <c r="AI863" s="81"/>
      <c r="AJ863" s="81"/>
      <c r="AK863" s="81"/>
      <c r="AL863" s="81"/>
      <c r="AM863" s="81"/>
    </row>
    <row collapsed="false" customFormat="false" customHeight="true" hidden="false" ht="16.2" outlineLevel="0" r="864">
      <c r="A864" s="80"/>
      <c r="B864" s="81" t="s">
        <v>630</v>
      </c>
      <c r="C864" s="85"/>
      <c r="D864" s="85" t="s">
        <v>1054</v>
      </c>
      <c r="E864" s="83" t="s">
        <v>1037</v>
      </c>
      <c r="F864" s="49" t="s">
        <v>1036</v>
      </c>
      <c r="G864" s="85" t="s">
        <v>1039</v>
      </c>
      <c r="H864" s="85" t="n">
        <v>10</v>
      </c>
      <c r="I864" s="85" t="s">
        <v>1050</v>
      </c>
      <c r="J864" s="85" t="n">
        <v>4</v>
      </c>
      <c r="K864" s="85" t="s">
        <v>1041</v>
      </c>
      <c r="L864" s="85" t="s">
        <v>1041</v>
      </c>
      <c r="M864" s="81" t="n">
        <v>0</v>
      </c>
      <c r="N864" s="81"/>
      <c r="O864" s="96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  <c r="AC864" s="81"/>
      <c r="AD864" s="81"/>
      <c r="AE864" s="81"/>
      <c r="AF864" s="81"/>
      <c r="AG864" s="81"/>
      <c r="AH864" s="81"/>
      <c r="AI864" s="81"/>
      <c r="AJ864" s="81"/>
      <c r="AK864" s="81"/>
      <c r="AL864" s="81"/>
      <c r="AM864" s="81"/>
    </row>
    <row collapsed="false" customFormat="false" customHeight="true" hidden="false" ht="16.2" outlineLevel="0" r="865">
      <c r="A865" s="80" t="n">
        <v>446</v>
      </c>
      <c r="B865" s="81"/>
      <c r="C865" s="82" t="s">
        <v>1033</v>
      </c>
      <c r="D865" s="85"/>
      <c r="E865" s="83" t="s">
        <v>1035</v>
      </c>
      <c r="F865" s="49" t="s">
        <v>1036</v>
      </c>
      <c r="G865" s="85"/>
      <c r="H865" s="85"/>
      <c r="I865" s="85"/>
      <c r="J865" s="85"/>
      <c r="K865" s="85"/>
      <c r="L865" s="85"/>
      <c r="M865" s="81"/>
      <c r="N865" s="81"/>
      <c r="O865" s="96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  <c r="AC865" s="81"/>
      <c r="AD865" s="81"/>
      <c r="AE865" s="81"/>
      <c r="AF865" s="81"/>
      <c r="AG865" s="81"/>
      <c r="AH865" s="81"/>
      <c r="AI865" s="81"/>
      <c r="AJ865" s="81"/>
      <c r="AK865" s="81"/>
      <c r="AL865" s="81"/>
      <c r="AM865" s="81"/>
    </row>
    <row collapsed="false" customFormat="false" customHeight="true" hidden="false" ht="16.2" outlineLevel="0" r="866">
      <c r="A866" s="80"/>
      <c r="B866" s="81" t="s">
        <v>631</v>
      </c>
      <c r="C866" s="85"/>
      <c r="D866" s="85" t="s">
        <v>1054</v>
      </c>
      <c r="E866" s="83" t="s">
        <v>1037</v>
      </c>
      <c r="F866" s="49" t="s">
        <v>1036</v>
      </c>
      <c r="G866" s="85" t="s">
        <v>1039</v>
      </c>
      <c r="H866" s="85" t="n">
        <v>10</v>
      </c>
      <c r="I866" s="85" t="s">
        <v>1050</v>
      </c>
      <c r="J866" s="85" t="n">
        <v>4</v>
      </c>
      <c r="K866" s="85" t="s">
        <v>1041</v>
      </c>
      <c r="L866" s="85" t="s">
        <v>1041</v>
      </c>
      <c r="M866" s="81" t="n">
        <v>3576</v>
      </c>
      <c r="N866" s="81"/>
      <c r="O866" s="96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  <c r="AC866" s="81"/>
      <c r="AD866" s="81"/>
      <c r="AE866" s="81"/>
      <c r="AF866" s="81"/>
      <c r="AG866" s="81"/>
      <c r="AH866" s="81"/>
      <c r="AI866" s="81"/>
      <c r="AJ866" s="81"/>
      <c r="AK866" s="81"/>
      <c r="AL866" s="81"/>
      <c r="AM866" s="81"/>
    </row>
    <row collapsed="false" customFormat="false" customHeight="true" hidden="false" ht="16.2" outlineLevel="0" r="867">
      <c r="A867" s="80" t="n">
        <v>447</v>
      </c>
      <c r="B867" s="81"/>
      <c r="C867" s="82" t="s">
        <v>1033</v>
      </c>
      <c r="D867" s="85"/>
      <c r="E867" s="83" t="s">
        <v>1035</v>
      </c>
      <c r="F867" s="49" t="s">
        <v>1036</v>
      </c>
      <c r="G867" s="85"/>
      <c r="H867" s="85"/>
      <c r="I867" s="85"/>
      <c r="J867" s="85"/>
      <c r="K867" s="85"/>
      <c r="L867" s="85"/>
      <c r="M867" s="81"/>
      <c r="N867" s="81"/>
      <c r="O867" s="96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  <c r="AC867" s="81"/>
      <c r="AD867" s="81"/>
      <c r="AE867" s="81"/>
      <c r="AF867" s="81"/>
      <c r="AG867" s="81"/>
      <c r="AH867" s="81"/>
      <c r="AI867" s="81"/>
      <c r="AJ867" s="81"/>
      <c r="AK867" s="81"/>
      <c r="AL867" s="81"/>
      <c r="AM867" s="81"/>
    </row>
    <row collapsed="false" customFormat="false" customHeight="true" hidden="false" ht="16.2" outlineLevel="0" r="868">
      <c r="A868" s="80"/>
      <c r="B868" s="81" t="s">
        <v>632</v>
      </c>
      <c r="C868" s="85"/>
      <c r="D868" s="85" t="s">
        <v>1054</v>
      </c>
      <c r="E868" s="83" t="s">
        <v>1037</v>
      </c>
      <c r="F868" s="49" t="s">
        <v>1036</v>
      </c>
      <c r="G868" s="85" t="s">
        <v>1042</v>
      </c>
      <c r="H868" s="85" t="n">
        <v>6</v>
      </c>
      <c r="I868" s="85" t="s">
        <v>1039</v>
      </c>
      <c r="J868" s="85" t="n">
        <v>2</v>
      </c>
      <c r="K868" s="85" t="s">
        <v>1041</v>
      </c>
      <c r="L868" s="85" t="s">
        <v>1041</v>
      </c>
      <c r="M868" s="81" t="n">
        <v>960</v>
      </c>
      <c r="N868" s="81"/>
      <c r="O868" s="96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  <c r="AC868" s="81"/>
      <c r="AD868" s="81"/>
      <c r="AE868" s="81"/>
      <c r="AF868" s="81"/>
      <c r="AG868" s="81"/>
      <c r="AH868" s="81"/>
      <c r="AI868" s="81"/>
      <c r="AJ868" s="81"/>
      <c r="AK868" s="81"/>
      <c r="AL868" s="81"/>
      <c r="AM868" s="81"/>
    </row>
    <row collapsed="false" customFormat="false" customHeight="true" hidden="false" ht="16.2" outlineLevel="0" r="869">
      <c r="A869" s="80" t="n">
        <v>448</v>
      </c>
      <c r="B869" s="81"/>
      <c r="C869" s="82" t="s">
        <v>1033</v>
      </c>
      <c r="D869" s="85"/>
      <c r="E869" s="83" t="s">
        <v>1035</v>
      </c>
      <c r="F869" s="49" t="s">
        <v>1036</v>
      </c>
      <c r="G869" s="85"/>
      <c r="H869" s="85"/>
      <c r="I869" s="85"/>
      <c r="J869" s="85"/>
      <c r="K869" s="85"/>
      <c r="L869" s="85"/>
      <c r="M869" s="81"/>
      <c r="N869" s="81"/>
      <c r="O869" s="96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  <c r="AC869" s="81"/>
      <c r="AD869" s="81"/>
      <c r="AE869" s="81"/>
      <c r="AF869" s="81"/>
      <c r="AG869" s="81"/>
      <c r="AH869" s="81"/>
      <c r="AI869" s="81"/>
      <c r="AJ869" s="81"/>
      <c r="AK869" s="81"/>
      <c r="AL869" s="81"/>
      <c r="AM869" s="81"/>
    </row>
    <row collapsed="false" customFormat="false" customHeight="true" hidden="false" ht="16.2" outlineLevel="0" r="870">
      <c r="A870" s="80"/>
      <c r="B870" s="81" t="s">
        <v>633</v>
      </c>
      <c r="C870" s="85"/>
      <c r="D870" s="85" t="s">
        <v>1054</v>
      </c>
      <c r="E870" s="83" t="s">
        <v>1037</v>
      </c>
      <c r="F870" s="49" t="s">
        <v>1036</v>
      </c>
      <c r="G870" s="85" t="s">
        <v>1039</v>
      </c>
      <c r="H870" s="85" t="n">
        <v>2</v>
      </c>
      <c r="I870" s="85" t="s">
        <v>1039</v>
      </c>
      <c r="J870" s="85" t="n">
        <v>1</v>
      </c>
      <c r="K870" s="85" t="s">
        <v>1041</v>
      </c>
      <c r="L870" s="85" t="s">
        <v>1041</v>
      </c>
      <c r="M870" s="81" t="n">
        <v>0</v>
      </c>
      <c r="N870" s="81"/>
      <c r="O870" s="96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  <c r="AC870" s="81"/>
      <c r="AD870" s="81"/>
      <c r="AE870" s="81"/>
      <c r="AF870" s="81"/>
      <c r="AG870" s="81"/>
      <c r="AH870" s="81"/>
      <c r="AI870" s="81"/>
      <c r="AJ870" s="81"/>
      <c r="AK870" s="81"/>
      <c r="AL870" s="81"/>
      <c r="AM870" s="81"/>
    </row>
    <row collapsed="false" customFormat="false" customHeight="true" hidden="false" ht="16.2" outlineLevel="0" r="871">
      <c r="A871" s="80" t="n">
        <v>449</v>
      </c>
      <c r="B871" s="81"/>
      <c r="C871" s="82" t="s">
        <v>1033</v>
      </c>
      <c r="D871" s="85"/>
      <c r="E871" s="83" t="s">
        <v>1035</v>
      </c>
      <c r="F871" s="49" t="s">
        <v>1036</v>
      </c>
      <c r="G871" s="85"/>
      <c r="H871" s="85"/>
      <c r="I871" s="85"/>
      <c r="J871" s="85"/>
      <c r="K871" s="85"/>
      <c r="L871" s="85"/>
      <c r="M871" s="81"/>
      <c r="N871" s="81"/>
      <c r="O871" s="96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  <c r="AC871" s="81"/>
      <c r="AD871" s="81"/>
      <c r="AE871" s="81"/>
      <c r="AF871" s="81"/>
      <c r="AG871" s="81"/>
      <c r="AH871" s="81"/>
      <c r="AI871" s="81"/>
      <c r="AJ871" s="81"/>
      <c r="AK871" s="81"/>
      <c r="AL871" s="81"/>
      <c r="AM871" s="81"/>
    </row>
    <row collapsed="false" customFormat="false" customHeight="true" hidden="false" ht="16.2" outlineLevel="0" r="872">
      <c r="A872" s="80"/>
      <c r="B872" s="81" t="s">
        <v>634</v>
      </c>
      <c r="C872" s="85"/>
      <c r="D872" s="85" t="s">
        <v>1054</v>
      </c>
      <c r="E872" s="83" t="s">
        <v>1037</v>
      </c>
      <c r="F872" s="49" t="s">
        <v>1036</v>
      </c>
      <c r="G872" s="85" t="s">
        <v>1039</v>
      </c>
      <c r="H872" s="85" t="n">
        <v>9</v>
      </c>
      <c r="I872" s="85" t="s">
        <v>1050</v>
      </c>
      <c r="J872" s="85" t="n">
        <v>2</v>
      </c>
      <c r="K872" s="85" t="s">
        <v>1041</v>
      </c>
      <c r="L872" s="85" t="s">
        <v>1041</v>
      </c>
      <c r="M872" s="81" t="n">
        <v>4140</v>
      </c>
      <c r="N872" s="81"/>
      <c r="O872" s="96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  <c r="AC872" s="81"/>
      <c r="AD872" s="81"/>
      <c r="AE872" s="81"/>
      <c r="AF872" s="81"/>
      <c r="AG872" s="81"/>
      <c r="AH872" s="81"/>
      <c r="AI872" s="81"/>
      <c r="AJ872" s="81"/>
      <c r="AK872" s="81"/>
      <c r="AL872" s="81"/>
      <c r="AM872" s="81"/>
    </row>
    <row collapsed="false" customFormat="false" customHeight="true" hidden="false" ht="16.2" outlineLevel="0" r="873">
      <c r="A873" s="80" t="n">
        <v>450</v>
      </c>
      <c r="B873" s="81"/>
      <c r="C873" s="82" t="s">
        <v>1033</v>
      </c>
      <c r="D873" s="85"/>
      <c r="E873" s="83" t="s">
        <v>1035</v>
      </c>
      <c r="F873" s="49" t="s">
        <v>1036</v>
      </c>
      <c r="G873" s="85"/>
      <c r="H873" s="85"/>
      <c r="I873" s="85"/>
      <c r="J873" s="85"/>
      <c r="K873" s="85"/>
      <c r="L873" s="85"/>
      <c r="M873" s="81"/>
      <c r="N873" s="81"/>
      <c r="O873" s="96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  <c r="AC873" s="81"/>
      <c r="AD873" s="81"/>
      <c r="AE873" s="81"/>
      <c r="AF873" s="81"/>
      <c r="AG873" s="81"/>
      <c r="AH873" s="81"/>
      <c r="AI873" s="81"/>
      <c r="AJ873" s="81"/>
      <c r="AK873" s="81"/>
      <c r="AL873" s="81"/>
      <c r="AM873" s="81"/>
    </row>
    <row collapsed="false" customFormat="false" customHeight="true" hidden="false" ht="16.2" outlineLevel="0" r="874">
      <c r="A874" s="80"/>
      <c r="B874" s="81" t="s">
        <v>635</v>
      </c>
      <c r="C874" s="85"/>
      <c r="D874" s="85" t="s">
        <v>1054</v>
      </c>
      <c r="E874" s="83" t="s">
        <v>1037</v>
      </c>
      <c r="F874" s="49" t="s">
        <v>1036</v>
      </c>
      <c r="G874" s="85" t="s">
        <v>1039</v>
      </c>
      <c r="H874" s="85" t="n">
        <v>2</v>
      </c>
      <c r="I874" s="85" t="s">
        <v>1039</v>
      </c>
      <c r="J874" s="85" t="n">
        <v>1</v>
      </c>
      <c r="K874" s="85" t="s">
        <v>1041</v>
      </c>
      <c r="L874" s="85" t="s">
        <v>1041</v>
      </c>
      <c r="M874" s="81" t="n">
        <v>0</v>
      </c>
      <c r="N874" s="81"/>
      <c r="O874" s="96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  <c r="AC874" s="81"/>
      <c r="AD874" s="81"/>
      <c r="AE874" s="81"/>
      <c r="AF874" s="81"/>
      <c r="AG874" s="81"/>
      <c r="AH874" s="81"/>
      <c r="AI874" s="81"/>
      <c r="AJ874" s="81"/>
      <c r="AK874" s="81"/>
      <c r="AL874" s="81"/>
      <c r="AM874" s="81"/>
    </row>
    <row collapsed="false" customFormat="false" customHeight="true" hidden="false" ht="16.2" outlineLevel="0" r="875">
      <c r="A875" s="80" t="n">
        <v>451</v>
      </c>
      <c r="B875" s="81"/>
      <c r="C875" s="82" t="s">
        <v>1033</v>
      </c>
      <c r="D875" s="85"/>
      <c r="E875" s="83" t="s">
        <v>1035</v>
      </c>
      <c r="F875" s="49" t="s">
        <v>1036</v>
      </c>
      <c r="G875" s="85"/>
      <c r="H875" s="85"/>
      <c r="I875" s="85"/>
      <c r="J875" s="85"/>
      <c r="K875" s="85"/>
      <c r="L875" s="85"/>
      <c r="M875" s="81"/>
      <c r="N875" s="81"/>
      <c r="O875" s="96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  <c r="AC875" s="81"/>
      <c r="AD875" s="81"/>
      <c r="AE875" s="81"/>
      <c r="AF875" s="81"/>
      <c r="AG875" s="81"/>
      <c r="AH875" s="81"/>
      <c r="AI875" s="81"/>
      <c r="AJ875" s="81"/>
      <c r="AK875" s="81"/>
      <c r="AL875" s="81"/>
      <c r="AM875" s="81"/>
    </row>
    <row collapsed="false" customFormat="false" customHeight="true" hidden="false" ht="16.2" outlineLevel="0" r="876">
      <c r="A876" s="80"/>
      <c r="B876" s="81" t="s">
        <v>636</v>
      </c>
      <c r="C876" s="85"/>
      <c r="D876" s="85" t="s">
        <v>1054</v>
      </c>
      <c r="E876" s="83" t="s">
        <v>1037</v>
      </c>
      <c r="F876" s="49" t="s">
        <v>1036</v>
      </c>
      <c r="G876" s="85" t="s">
        <v>1042</v>
      </c>
      <c r="H876" s="85" t="n">
        <v>3</v>
      </c>
      <c r="I876" s="85" t="s">
        <v>1039</v>
      </c>
      <c r="J876" s="85" t="n">
        <v>1</v>
      </c>
      <c r="K876" s="85" t="s">
        <v>1041</v>
      </c>
      <c r="L876" s="85" t="s">
        <v>1041</v>
      </c>
      <c r="M876" s="81" t="n">
        <v>0</v>
      </c>
      <c r="N876" s="81"/>
      <c r="O876" s="96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  <c r="AC876" s="81"/>
      <c r="AD876" s="81"/>
      <c r="AE876" s="81"/>
      <c r="AF876" s="81"/>
      <c r="AG876" s="81"/>
      <c r="AH876" s="81"/>
      <c r="AI876" s="81"/>
      <c r="AJ876" s="81"/>
      <c r="AK876" s="81"/>
      <c r="AL876" s="81"/>
      <c r="AM876" s="81"/>
    </row>
    <row collapsed="false" customFormat="false" customHeight="true" hidden="false" ht="16.2" outlineLevel="0" r="877">
      <c r="A877" s="80" t="n">
        <v>452</v>
      </c>
      <c r="B877" s="81"/>
      <c r="C877" s="82" t="s">
        <v>1033</v>
      </c>
      <c r="D877" s="85"/>
      <c r="E877" s="83" t="s">
        <v>1035</v>
      </c>
      <c r="F877" s="49" t="s">
        <v>1036</v>
      </c>
      <c r="G877" s="85"/>
      <c r="H877" s="85"/>
      <c r="I877" s="85"/>
      <c r="J877" s="85"/>
      <c r="K877" s="85"/>
      <c r="L877" s="85"/>
      <c r="M877" s="81"/>
      <c r="N877" s="81"/>
      <c r="O877" s="96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  <c r="AC877" s="81"/>
      <c r="AD877" s="81"/>
      <c r="AE877" s="81"/>
      <c r="AF877" s="81"/>
      <c r="AG877" s="81"/>
      <c r="AH877" s="81"/>
      <c r="AI877" s="81"/>
      <c r="AJ877" s="81"/>
      <c r="AK877" s="81"/>
      <c r="AL877" s="81"/>
      <c r="AM877" s="81"/>
    </row>
    <row collapsed="false" customFormat="false" customHeight="true" hidden="false" ht="16.2" outlineLevel="0" r="878">
      <c r="A878" s="80"/>
      <c r="B878" s="81" t="s">
        <v>637</v>
      </c>
      <c r="C878" s="85"/>
      <c r="D878" s="85" t="s">
        <v>1054</v>
      </c>
      <c r="E878" s="83" t="s">
        <v>1037</v>
      </c>
      <c r="F878" s="49" t="s">
        <v>1036</v>
      </c>
      <c r="G878" s="85" t="s">
        <v>1042</v>
      </c>
      <c r="H878" s="85" t="n">
        <v>9</v>
      </c>
      <c r="I878" s="85" t="s">
        <v>1039</v>
      </c>
      <c r="J878" s="85" t="n">
        <v>1</v>
      </c>
      <c r="K878" s="85" t="s">
        <v>1041</v>
      </c>
      <c r="L878" s="85" t="s">
        <v>1041</v>
      </c>
      <c r="M878" s="81" t="n">
        <v>2370</v>
      </c>
      <c r="N878" s="81"/>
      <c r="O878" s="96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  <c r="AC878" s="81"/>
      <c r="AD878" s="81"/>
      <c r="AE878" s="81"/>
      <c r="AF878" s="81"/>
      <c r="AG878" s="81"/>
      <c r="AH878" s="81"/>
      <c r="AI878" s="81"/>
      <c r="AJ878" s="81"/>
      <c r="AK878" s="81"/>
      <c r="AL878" s="81"/>
      <c r="AM878" s="81"/>
    </row>
    <row collapsed="false" customFormat="false" customHeight="true" hidden="false" ht="16.2" outlineLevel="0" r="879">
      <c r="A879" s="80" t="n">
        <v>453</v>
      </c>
      <c r="B879" s="81"/>
      <c r="C879" s="82" t="s">
        <v>1033</v>
      </c>
      <c r="D879" s="85"/>
      <c r="E879" s="83" t="s">
        <v>1035</v>
      </c>
      <c r="F879" s="49" t="s">
        <v>1036</v>
      </c>
      <c r="G879" s="85"/>
      <c r="H879" s="85"/>
      <c r="I879" s="85"/>
      <c r="J879" s="85"/>
      <c r="K879" s="85"/>
      <c r="L879" s="85"/>
      <c r="M879" s="81"/>
      <c r="N879" s="81"/>
      <c r="O879" s="96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  <c r="AC879" s="81"/>
      <c r="AD879" s="81"/>
      <c r="AE879" s="81"/>
      <c r="AF879" s="81"/>
      <c r="AG879" s="81"/>
      <c r="AH879" s="81"/>
      <c r="AI879" s="81"/>
      <c r="AJ879" s="81"/>
      <c r="AK879" s="81"/>
      <c r="AL879" s="81"/>
      <c r="AM879" s="81"/>
    </row>
    <row collapsed="false" customFormat="false" customHeight="true" hidden="false" ht="16.2" outlineLevel="0" r="880">
      <c r="A880" s="80"/>
      <c r="B880" s="81" t="s">
        <v>638</v>
      </c>
      <c r="C880" s="85"/>
      <c r="D880" s="85" t="s">
        <v>1054</v>
      </c>
      <c r="E880" s="83" t="s">
        <v>1037</v>
      </c>
      <c r="F880" s="49" t="s">
        <v>1036</v>
      </c>
      <c r="G880" s="85" t="s">
        <v>1039</v>
      </c>
      <c r="H880" s="85" t="n">
        <v>2</v>
      </c>
      <c r="I880" s="85" t="s">
        <v>1066</v>
      </c>
      <c r="J880" s="85" t="n">
        <v>1</v>
      </c>
      <c r="K880" s="85" t="s">
        <v>1041</v>
      </c>
      <c r="L880" s="85" t="s">
        <v>1041</v>
      </c>
      <c r="M880" s="81"/>
      <c r="N880" s="81"/>
      <c r="O880" s="96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  <c r="AC880" s="81"/>
      <c r="AD880" s="81"/>
      <c r="AE880" s="81"/>
      <c r="AF880" s="81"/>
      <c r="AG880" s="81"/>
      <c r="AH880" s="81"/>
      <c r="AI880" s="81"/>
      <c r="AJ880" s="81"/>
      <c r="AK880" s="81"/>
      <c r="AL880" s="81"/>
      <c r="AM880" s="81"/>
    </row>
    <row collapsed="false" customFormat="false" customHeight="true" hidden="false" ht="16.2" outlineLevel="0" r="881">
      <c r="A881" s="80" t="n">
        <v>454</v>
      </c>
      <c r="B881" s="81"/>
      <c r="C881" s="82" t="s">
        <v>1033</v>
      </c>
      <c r="D881" s="85"/>
      <c r="E881" s="83" t="s">
        <v>1035</v>
      </c>
      <c r="F881" s="49" t="s">
        <v>1036</v>
      </c>
      <c r="G881" s="85"/>
      <c r="H881" s="85"/>
      <c r="I881" s="85"/>
      <c r="J881" s="85"/>
      <c r="K881" s="85"/>
      <c r="L881" s="85"/>
      <c r="M881" s="81"/>
      <c r="N881" s="81"/>
      <c r="O881" s="96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  <c r="AC881" s="81"/>
      <c r="AD881" s="81"/>
      <c r="AE881" s="81"/>
      <c r="AF881" s="81"/>
      <c r="AG881" s="81"/>
      <c r="AH881" s="81"/>
      <c r="AI881" s="81"/>
      <c r="AJ881" s="81"/>
      <c r="AK881" s="81"/>
      <c r="AL881" s="81"/>
      <c r="AM881" s="81"/>
    </row>
    <row collapsed="false" customFormat="false" customHeight="true" hidden="false" ht="16.2" outlineLevel="0" r="882">
      <c r="A882" s="80"/>
      <c r="B882" s="81" t="s">
        <v>639</v>
      </c>
      <c r="C882" s="85"/>
      <c r="D882" s="85" t="s">
        <v>1054</v>
      </c>
      <c r="E882" s="83" t="s">
        <v>1037</v>
      </c>
      <c r="F882" s="49" t="s">
        <v>1036</v>
      </c>
      <c r="G882" s="85" t="s">
        <v>1039</v>
      </c>
      <c r="H882" s="85" t="n">
        <v>3</v>
      </c>
      <c r="I882" s="85" t="s">
        <v>1039</v>
      </c>
      <c r="J882" s="85" t="n">
        <v>1</v>
      </c>
      <c r="K882" s="85" t="s">
        <v>1041</v>
      </c>
      <c r="L882" s="85" t="s">
        <v>1041</v>
      </c>
      <c r="M882" s="81" t="n">
        <v>570</v>
      </c>
      <c r="N882" s="81"/>
      <c r="O882" s="96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  <c r="AC882" s="81"/>
      <c r="AD882" s="81"/>
      <c r="AE882" s="81"/>
      <c r="AF882" s="81"/>
      <c r="AG882" s="81"/>
      <c r="AH882" s="81"/>
      <c r="AI882" s="81"/>
      <c r="AJ882" s="81"/>
      <c r="AK882" s="81"/>
      <c r="AL882" s="81"/>
      <c r="AM882" s="81"/>
    </row>
    <row collapsed="false" customFormat="false" customHeight="true" hidden="false" ht="16.2" outlineLevel="0" r="883">
      <c r="A883" s="80" t="n">
        <v>455</v>
      </c>
      <c r="B883" s="81"/>
      <c r="C883" s="82" t="s">
        <v>1033</v>
      </c>
      <c r="D883" s="85"/>
      <c r="E883" s="83" t="s">
        <v>1035</v>
      </c>
      <c r="F883" s="49" t="s">
        <v>1036</v>
      </c>
      <c r="G883" s="85"/>
      <c r="H883" s="85"/>
      <c r="I883" s="85"/>
      <c r="J883" s="85"/>
      <c r="K883" s="85"/>
      <c r="L883" s="85"/>
      <c r="M883" s="81"/>
      <c r="N883" s="81"/>
      <c r="O883" s="96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  <c r="AC883" s="81"/>
      <c r="AD883" s="81"/>
      <c r="AE883" s="81"/>
      <c r="AF883" s="81"/>
      <c r="AG883" s="81"/>
      <c r="AH883" s="81"/>
      <c r="AI883" s="81"/>
      <c r="AJ883" s="81"/>
      <c r="AK883" s="81"/>
      <c r="AL883" s="81"/>
      <c r="AM883" s="81"/>
    </row>
    <row collapsed="false" customFormat="false" customHeight="true" hidden="false" ht="16.2" outlineLevel="0" r="884">
      <c r="A884" s="80"/>
      <c r="B884" s="81" t="s">
        <v>640</v>
      </c>
      <c r="C884" s="85"/>
      <c r="D884" s="85" t="s">
        <v>1054</v>
      </c>
      <c r="E884" s="83" t="s">
        <v>1037</v>
      </c>
      <c r="F884" s="49" t="s">
        <v>1036</v>
      </c>
      <c r="G884" s="85" t="s">
        <v>1042</v>
      </c>
      <c r="H884" s="85" t="n">
        <v>10</v>
      </c>
      <c r="I884" s="85" t="s">
        <v>1039</v>
      </c>
      <c r="J884" s="85" t="n">
        <v>1</v>
      </c>
      <c r="K884" s="85" t="s">
        <v>1041</v>
      </c>
      <c r="L884" s="85" t="s">
        <v>1041</v>
      </c>
      <c r="M884" s="81" t="n">
        <v>3210</v>
      </c>
      <c r="N884" s="81"/>
      <c r="O884" s="96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  <c r="AC884" s="81"/>
      <c r="AD884" s="81"/>
      <c r="AE884" s="81"/>
      <c r="AF884" s="81"/>
      <c r="AG884" s="81"/>
      <c r="AH884" s="81"/>
      <c r="AI884" s="81"/>
      <c r="AJ884" s="81"/>
      <c r="AK884" s="81"/>
      <c r="AL884" s="81"/>
      <c r="AM884" s="81"/>
    </row>
    <row collapsed="false" customFormat="false" customHeight="true" hidden="false" ht="16.2" outlineLevel="0" r="885">
      <c r="A885" s="80" t="n">
        <v>456</v>
      </c>
      <c r="B885" s="81"/>
      <c r="C885" s="82" t="s">
        <v>1033</v>
      </c>
      <c r="D885" s="85"/>
      <c r="E885" s="83" t="s">
        <v>1035</v>
      </c>
      <c r="F885" s="49" t="s">
        <v>1036</v>
      </c>
      <c r="G885" s="85"/>
      <c r="H885" s="85"/>
      <c r="I885" s="85"/>
      <c r="J885" s="85"/>
      <c r="K885" s="85"/>
      <c r="L885" s="85"/>
      <c r="M885" s="81"/>
      <c r="N885" s="81"/>
      <c r="O885" s="96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  <c r="AC885" s="81"/>
      <c r="AD885" s="81"/>
      <c r="AE885" s="81"/>
      <c r="AF885" s="81"/>
      <c r="AG885" s="81"/>
      <c r="AH885" s="81"/>
      <c r="AI885" s="81"/>
      <c r="AJ885" s="81"/>
      <c r="AK885" s="81"/>
      <c r="AL885" s="81"/>
      <c r="AM885" s="81"/>
    </row>
    <row collapsed="false" customFormat="false" customHeight="true" hidden="false" ht="16.2" outlineLevel="0" r="886">
      <c r="A886" s="80"/>
      <c r="B886" s="81" t="s">
        <v>642</v>
      </c>
      <c r="C886" s="85"/>
      <c r="D886" s="85" t="s">
        <v>1054</v>
      </c>
      <c r="E886" s="83" t="s">
        <v>1037</v>
      </c>
      <c r="F886" s="49" t="s">
        <v>1036</v>
      </c>
      <c r="G886" s="85" t="s">
        <v>1042</v>
      </c>
      <c r="H886" s="85" t="n">
        <v>12</v>
      </c>
      <c r="I886" s="85" t="s">
        <v>1039</v>
      </c>
      <c r="J886" s="85" t="n">
        <v>4</v>
      </c>
      <c r="K886" s="85" t="s">
        <v>1041</v>
      </c>
      <c r="L886" s="85" t="s">
        <v>1041</v>
      </c>
      <c r="M886" s="81" t="n">
        <v>840</v>
      </c>
      <c r="N886" s="81"/>
      <c r="O886" s="96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  <c r="AC886" s="81"/>
      <c r="AD886" s="81"/>
      <c r="AE886" s="81"/>
      <c r="AF886" s="81"/>
      <c r="AG886" s="81"/>
      <c r="AH886" s="81"/>
      <c r="AI886" s="81"/>
      <c r="AJ886" s="81"/>
      <c r="AK886" s="81"/>
      <c r="AL886" s="81"/>
      <c r="AM886" s="81"/>
    </row>
    <row collapsed="false" customFormat="false" customHeight="true" hidden="false" ht="16.2" outlineLevel="0" r="887">
      <c r="A887" s="80" t="n">
        <v>457</v>
      </c>
      <c r="B887" s="81"/>
      <c r="C887" s="82" t="s">
        <v>1033</v>
      </c>
      <c r="D887" s="85"/>
      <c r="E887" s="83" t="s">
        <v>1035</v>
      </c>
      <c r="F887" s="49" t="s">
        <v>1036</v>
      </c>
      <c r="G887" s="85"/>
      <c r="H887" s="85"/>
      <c r="I887" s="85"/>
      <c r="J887" s="85"/>
      <c r="K887" s="85"/>
      <c r="L887" s="85"/>
      <c r="M887" s="81"/>
      <c r="N887" s="81"/>
      <c r="O887" s="96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  <c r="AI887" s="81"/>
      <c r="AJ887" s="81"/>
      <c r="AK887" s="81"/>
      <c r="AL887" s="81"/>
      <c r="AM887" s="81"/>
    </row>
    <row collapsed="false" customFormat="false" customHeight="true" hidden="false" ht="16.2" outlineLevel="0" r="888">
      <c r="A888" s="80"/>
      <c r="B888" s="81" t="s">
        <v>643</v>
      </c>
      <c r="C888" s="85"/>
      <c r="D888" s="85" t="s">
        <v>1054</v>
      </c>
      <c r="E888" s="83" t="s">
        <v>1037</v>
      </c>
      <c r="F888" s="49" t="s">
        <v>1036</v>
      </c>
      <c r="G888" s="85" t="s">
        <v>1042</v>
      </c>
      <c r="H888" s="85" t="n">
        <v>8</v>
      </c>
      <c r="I888" s="85" t="s">
        <v>1039</v>
      </c>
      <c r="J888" s="85" t="n">
        <v>2</v>
      </c>
      <c r="K888" s="85" t="s">
        <v>1041</v>
      </c>
      <c r="L888" s="85" t="s">
        <v>1041</v>
      </c>
      <c r="M888" s="81"/>
      <c r="N888" s="81"/>
      <c r="O888" s="96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  <c r="AC888" s="81"/>
      <c r="AD888" s="81"/>
      <c r="AE888" s="81"/>
      <c r="AF888" s="81"/>
      <c r="AG888" s="81"/>
      <c r="AH888" s="81"/>
      <c r="AI888" s="81"/>
      <c r="AJ888" s="81"/>
      <c r="AK888" s="81"/>
      <c r="AL888" s="81"/>
      <c r="AM888" s="81"/>
    </row>
    <row collapsed="false" customFormat="false" customHeight="true" hidden="false" ht="16.2" outlineLevel="0" r="889">
      <c r="A889" s="80" t="n">
        <v>458</v>
      </c>
      <c r="B889" s="81"/>
      <c r="C889" s="82" t="s">
        <v>1033</v>
      </c>
      <c r="D889" s="85"/>
      <c r="E889" s="83" t="s">
        <v>1035</v>
      </c>
      <c r="F889" s="49" t="s">
        <v>1036</v>
      </c>
      <c r="G889" s="85"/>
      <c r="H889" s="85"/>
      <c r="I889" s="85"/>
      <c r="J889" s="85"/>
      <c r="K889" s="85"/>
      <c r="L889" s="85"/>
      <c r="M889" s="81"/>
      <c r="N889" s="81"/>
      <c r="O889" s="96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  <c r="AC889" s="81"/>
      <c r="AD889" s="81"/>
      <c r="AE889" s="81"/>
      <c r="AF889" s="81"/>
      <c r="AG889" s="81"/>
      <c r="AH889" s="81"/>
      <c r="AI889" s="81"/>
      <c r="AJ889" s="81"/>
      <c r="AK889" s="81"/>
      <c r="AL889" s="81"/>
      <c r="AM889" s="81"/>
    </row>
    <row collapsed="false" customFormat="false" customHeight="true" hidden="false" ht="16.2" outlineLevel="0" r="890">
      <c r="A890" s="80"/>
      <c r="B890" s="81" t="s">
        <v>644</v>
      </c>
      <c r="C890" s="85"/>
      <c r="D890" s="85" t="s">
        <v>1054</v>
      </c>
      <c r="E890" s="83" t="s">
        <v>1037</v>
      </c>
      <c r="F890" s="49" t="s">
        <v>1036</v>
      </c>
      <c r="G890" s="85" t="s">
        <v>1039</v>
      </c>
      <c r="H890" s="85" t="n">
        <v>12</v>
      </c>
      <c r="I890" s="85" t="s">
        <v>1039</v>
      </c>
      <c r="J890" s="85" t="n">
        <v>4</v>
      </c>
      <c r="K890" s="85" t="s">
        <v>1041</v>
      </c>
      <c r="L890" s="85" t="s">
        <v>1041</v>
      </c>
      <c r="M890" s="81" t="n">
        <v>2250</v>
      </c>
      <c r="N890" s="81"/>
      <c r="O890" s="96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  <c r="AC890" s="81"/>
      <c r="AD890" s="81"/>
      <c r="AE890" s="81"/>
      <c r="AF890" s="81"/>
      <c r="AG890" s="81"/>
      <c r="AH890" s="81"/>
      <c r="AI890" s="81"/>
      <c r="AJ890" s="81"/>
      <c r="AK890" s="81"/>
      <c r="AL890" s="81"/>
      <c r="AM890" s="81"/>
    </row>
    <row collapsed="false" customFormat="false" customHeight="true" hidden="false" ht="16.2" outlineLevel="0" r="891">
      <c r="A891" s="80" t="n">
        <v>459</v>
      </c>
      <c r="B891" s="81"/>
      <c r="C891" s="82" t="s">
        <v>1033</v>
      </c>
      <c r="D891" s="85"/>
      <c r="E891" s="83" t="s">
        <v>1035</v>
      </c>
      <c r="F891" s="49" t="s">
        <v>1036</v>
      </c>
      <c r="G891" s="85"/>
      <c r="H891" s="85"/>
      <c r="I891" s="85"/>
      <c r="J891" s="85"/>
      <c r="K891" s="85"/>
      <c r="L891" s="85"/>
      <c r="M891" s="81"/>
      <c r="N891" s="81"/>
      <c r="O891" s="96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  <c r="AC891" s="81"/>
      <c r="AD891" s="81"/>
      <c r="AE891" s="81"/>
      <c r="AF891" s="81"/>
      <c r="AG891" s="81"/>
      <c r="AH891" s="81"/>
      <c r="AI891" s="81"/>
      <c r="AJ891" s="81"/>
      <c r="AK891" s="81"/>
      <c r="AL891" s="81"/>
      <c r="AM891" s="81"/>
    </row>
    <row collapsed="false" customFormat="false" customHeight="true" hidden="false" ht="16.2" outlineLevel="0" r="892">
      <c r="A892" s="80"/>
      <c r="B892" s="81" t="s">
        <v>645</v>
      </c>
      <c r="C892" s="85"/>
      <c r="D892" s="85" t="s">
        <v>1054</v>
      </c>
      <c r="E892" s="83" t="s">
        <v>1037</v>
      </c>
      <c r="F892" s="49" t="s">
        <v>1036</v>
      </c>
      <c r="G892" s="85" t="s">
        <v>1039</v>
      </c>
      <c r="H892" s="85" t="n">
        <v>12</v>
      </c>
      <c r="I892" s="85" t="s">
        <v>1039</v>
      </c>
      <c r="J892" s="85" t="n">
        <v>3</v>
      </c>
      <c r="K892" s="85" t="s">
        <v>1041</v>
      </c>
      <c r="L892" s="85" t="s">
        <v>1041</v>
      </c>
      <c r="M892" s="81" t="n">
        <v>2550</v>
      </c>
      <c r="N892" s="81"/>
      <c r="O892" s="96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  <c r="AC892" s="81"/>
      <c r="AD892" s="81"/>
      <c r="AE892" s="81"/>
      <c r="AF892" s="81"/>
      <c r="AG892" s="81"/>
      <c r="AH892" s="81"/>
      <c r="AI892" s="81"/>
      <c r="AJ892" s="81"/>
      <c r="AK892" s="81"/>
      <c r="AL892" s="81"/>
      <c r="AM892" s="81"/>
    </row>
    <row collapsed="false" customFormat="false" customHeight="true" hidden="false" ht="16.2" outlineLevel="0" r="893">
      <c r="A893" s="80" t="n">
        <v>460</v>
      </c>
      <c r="B893" s="81"/>
      <c r="C893" s="82" t="s">
        <v>1033</v>
      </c>
      <c r="D893" s="85"/>
      <c r="E893" s="83" t="s">
        <v>1035</v>
      </c>
      <c r="F893" s="49" t="s">
        <v>1036</v>
      </c>
      <c r="G893" s="85"/>
      <c r="H893" s="85"/>
      <c r="I893" s="85"/>
      <c r="J893" s="85"/>
      <c r="K893" s="85"/>
      <c r="L893" s="85"/>
      <c r="M893" s="81"/>
      <c r="N893" s="81"/>
      <c r="O893" s="96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  <c r="AC893" s="81"/>
      <c r="AD893" s="81"/>
      <c r="AE893" s="81"/>
      <c r="AF893" s="81"/>
      <c r="AG893" s="81"/>
      <c r="AH893" s="81"/>
      <c r="AI893" s="81"/>
      <c r="AJ893" s="81"/>
      <c r="AK893" s="81"/>
      <c r="AL893" s="81"/>
      <c r="AM893" s="81"/>
    </row>
    <row collapsed="false" customFormat="false" customHeight="true" hidden="false" ht="16.2" outlineLevel="0" r="894">
      <c r="A894" s="80"/>
      <c r="B894" s="81" t="s">
        <v>646</v>
      </c>
      <c r="C894" s="85"/>
      <c r="D894" s="85" t="s">
        <v>1054</v>
      </c>
      <c r="E894" s="83" t="s">
        <v>1037</v>
      </c>
      <c r="F894" s="49" t="s">
        <v>1036</v>
      </c>
      <c r="G894" s="85" t="s">
        <v>1039</v>
      </c>
      <c r="H894" s="85" t="n">
        <v>15</v>
      </c>
      <c r="I894" s="85" t="s">
        <v>1039</v>
      </c>
      <c r="J894" s="85" t="n">
        <v>4</v>
      </c>
      <c r="K894" s="85" t="s">
        <v>1041</v>
      </c>
      <c r="L894" s="85" t="s">
        <v>1041</v>
      </c>
      <c r="M894" s="81" t="n">
        <v>4560</v>
      </c>
      <c r="N894" s="81"/>
      <c r="O894" s="96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  <c r="AC894" s="81"/>
      <c r="AD894" s="81"/>
      <c r="AE894" s="81"/>
      <c r="AF894" s="81"/>
      <c r="AG894" s="81"/>
      <c r="AH894" s="81"/>
      <c r="AI894" s="81"/>
      <c r="AJ894" s="81"/>
      <c r="AK894" s="81"/>
      <c r="AL894" s="81"/>
      <c r="AM894" s="81"/>
    </row>
    <row collapsed="false" customFormat="false" customHeight="true" hidden="false" ht="16.2" outlineLevel="0" r="895">
      <c r="A895" s="80" t="n">
        <v>461</v>
      </c>
      <c r="B895" s="81"/>
      <c r="C895" s="82" t="s">
        <v>1033</v>
      </c>
      <c r="D895" s="85"/>
      <c r="E895" s="83" t="s">
        <v>1035</v>
      </c>
      <c r="F895" s="49" t="s">
        <v>1036</v>
      </c>
      <c r="G895" s="85"/>
      <c r="H895" s="85"/>
      <c r="I895" s="85"/>
      <c r="J895" s="85"/>
      <c r="K895" s="85"/>
      <c r="L895" s="85"/>
      <c r="M895" s="81"/>
      <c r="N895" s="81"/>
      <c r="O895" s="96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  <c r="AC895" s="81"/>
      <c r="AD895" s="81"/>
      <c r="AE895" s="81"/>
      <c r="AF895" s="81"/>
      <c r="AG895" s="81"/>
      <c r="AH895" s="81"/>
      <c r="AI895" s="81"/>
      <c r="AJ895" s="81"/>
      <c r="AK895" s="81"/>
      <c r="AL895" s="81"/>
      <c r="AM895" s="81"/>
    </row>
    <row collapsed="false" customFormat="false" customHeight="true" hidden="false" ht="16.2" outlineLevel="0" r="896">
      <c r="A896" s="80"/>
      <c r="B896" s="81" t="s">
        <v>648</v>
      </c>
      <c r="C896" s="85"/>
      <c r="D896" s="85" t="s">
        <v>1054</v>
      </c>
      <c r="E896" s="83" t="s">
        <v>1037</v>
      </c>
      <c r="F896" s="49" t="s">
        <v>1036</v>
      </c>
      <c r="G896" s="85" t="s">
        <v>1042</v>
      </c>
      <c r="H896" s="85" t="n">
        <v>12</v>
      </c>
      <c r="I896" s="85" t="s">
        <v>1039</v>
      </c>
      <c r="J896" s="85" t="n">
        <v>3</v>
      </c>
      <c r="K896" s="85" t="s">
        <v>1041</v>
      </c>
      <c r="L896" s="85" t="s">
        <v>1041</v>
      </c>
      <c r="M896" s="81" t="n">
        <v>3420</v>
      </c>
      <c r="N896" s="81"/>
      <c r="O896" s="96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  <c r="AC896" s="81"/>
      <c r="AD896" s="81"/>
      <c r="AE896" s="81"/>
      <c r="AF896" s="81"/>
      <c r="AG896" s="81"/>
      <c r="AH896" s="81"/>
      <c r="AI896" s="81"/>
      <c r="AJ896" s="81"/>
      <c r="AK896" s="81"/>
      <c r="AL896" s="81"/>
      <c r="AM896" s="81"/>
    </row>
    <row collapsed="false" customFormat="false" customHeight="true" hidden="false" ht="16.2" outlineLevel="0" r="897">
      <c r="A897" s="80" t="n">
        <v>462</v>
      </c>
      <c r="B897" s="100" t="s">
        <v>650</v>
      </c>
      <c r="C897" s="82" t="s">
        <v>1033</v>
      </c>
      <c r="D897" s="92" t="s">
        <v>1056</v>
      </c>
      <c r="E897" s="83" t="s">
        <v>1035</v>
      </c>
      <c r="F897" s="49" t="s">
        <v>1036</v>
      </c>
      <c r="G897" s="92"/>
      <c r="H897" s="85"/>
      <c r="I897" s="85"/>
      <c r="J897" s="85"/>
      <c r="K897" s="93"/>
      <c r="L897" s="93"/>
      <c r="M897" s="81"/>
      <c r="N897" s="81"/>
      <c r="O897" s="90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  <c r="AE897" s="95"/>
      <c r="AF897" s="95"/>
      <c r="AG897" s="95"/>
      <c r="AH897" s="95"/>
      <c r="AI897" s="95"/>
      <c r="AJ897" s="95"/>
      <c r="AK897" s="95"/>
      <c r="AL897" s="95"/>
      <c r="AM897" s="81"/>
    </row>
    <row collapsed="false" customFormat="false" customHeight="true" hidden="false" ht="16.2" outlineLevel="0" r="898">
      <c r="A898" s="80"/>
      <c r="B898" s="101"/>
      <c r="C898" s="85"/>
      <c r="D898" s="92"/>
      <c r="E898" s="83" t="s">
        <v>1037</v>
      </c>
      <c r="F898" s="49" t="s">
        <v>1036</v>
      </c>
      <c r="G898" s="85" t="s">
        <v>1057</v>
      </c>
      <c r="H898" s="85" t="n">
        <v>16</v>
      </c>
      <c r="I898" s="85" t="s">
        <v>1046</v>
      </c>
      <c r="J898" s="85" t="n">
        <v>4</v>
      </c>
      <c r="K898" s="93" t="s">
        <v>53</v>
      </c>
      <c r="L898" s="93" t="s">
        <v>53</v>
      </c>
      <c r="M898" s="81" t="n">
        <v>695</v>
      </c>
      <c r="N898" s="81" t="n">
        <v>215</v>
      </c>
      <c r="O898" s="90" t="n">
        <v>17</v>
      </c>
      <c r="P898" s="95" t="s">
        <v>1005</v>
      </c>
      <c r="Q898" s="81" t="n">
        <v>18</v>
      </c>
      <c r="R898" s="95" t="s">
        <v>1005</v>
      </c>
      <c r="S898" s="81" t="n">
        <v>6</v>
      </c>
      <c r="T898" s="95" t="s">
        <v>1005</v>
      </c>
      <c r="U898" s="81" t="n">
        <v>18</v>
      </c>
      <c r="V898" s="95" t="s">
        <v>1005</v>
      </c>
      <c r="W898" s="81" t="n">
        <v>18</v>
      </c>
      <c r="X898" s="95" t="s">
        <v>1005</v>
      </c>
      <c r="Y898" s="81" t="n">
        <v>17</v>
      </c>
      <c r="Z898" s="95" t="s">
        <v>1005</v>
      </c>
      <c r="AA898" s="81" t="n">
        <v>18</v>
      </c>
      <c r="AB898" s="95" t="s">
        <v>1005</v>
      </c>
      <c r="AC898" s="81" t="n">
        <v>5</v>
      </c>
      <c r="AD898" s="95" t="s">
        <v>1005</v>
      </c>
      <c r="AE898" s="81" t="n">
        <v>14</v>
      </c>
      <c r="AF898" s="95" t="s">
        <v>1005</v>
      </c>
      <c r="AG898" s="81" t="n">
        <v>18</v>
      </c>
      <c r="AH898" s="95" t="s">
        <v>1005</v>
      </c>
      <c r="AI898" s="81" t="n">
        <v>17</v>
      </c>
      <c r="AJ898" s="95" t="s">
        <v>1005</v>
      </c>
      <c r="AK898" s="81" t="n">
        <v>15</v>
      </c>
      <c r="AL898" s="95" t="s">
        <v>1005</v>
      </c>
      <c r="AM898" s="81" t="n">
        <f aca="false">O898+Q898+S898+U898+W898+Y898+AA898+AC898+AE898+AG898+AI898+AK898</f>
        <v>181</v>
      </c>
    </row>
    <row collapsed="false" customFormat="false" customHeight="true" hidden="false" ht="16.2" outlineLevel="0" r="899">
      <c r="A899" s="80" t="n">
        <v>463</v>
      </c>
      <c r="B899" s="100" t="s">
        <v>651</v>
      </c>
      <c r="C899" s="82" t="s">
        <v>1033</v>
      </c>
      <c r="D899" s="92" t="s">
        <v>1056</v>
      </c>
      <c r="E899" s="83" t="s">
        <v>1035</v>
      </c>
      <c r="F899" s="49" t="s">
        <v>1036</v>
      </c>
      <c r="G899" s="92"/>
      <c r="H899" s="85"/>
      <c r="I899" s="85"/>
      <c r="J899" s="85"/>
      <c r="K899" s="93"/>
      <c r="L899" s="93"/>
      <c r="M899" s="81"/>
      <c r="N899" s="81"/>
      <c r="O899" s="90"/>
      <c r="P899" s="95"/>
      <c r="Q899" s="81"/>
      <c r="R899" s="95"/>
      <c r="S899" s="81"/>
      <c r="T899" s="95"/>
      <c r="U899" s="81"/>
      <c r="V899" s="95"/>
      <c r="W899" s="81"/>
      <c r="X899" s="95"/>
      <c r="Y899" s="81"/>
      <c r="Z899" s="95"/>
      <c r="AA899" s="81"/>
      <c r="AB899" s="95"/>
      <c r="AC899" s="81"/>
      <c r="AD899" s="95"/>
      <c r="AE899" s="81"/>
      <c r="AF899" s="95"/>
      <c r="AG899" s="81"/>
      <c r="AH899" s="95"/>
      <c r="AI899" s="81"/>
      <c r="AJ899" s="95"/>
      <c r="AK899" s="81"/>
      <c r="AL899" s="95"/>
      <c r="AM899" s="81"/>
    </row>
    <row collapsed="false" customFormat="false" customHeight="true" hidden="false" ht="16.2" outlineLevel="0" r="900">
      <c r="A900" s="80"/>
      <c r="B900" s="101"/>
      <c r="C900" s="85"/>
      <c r="D900" s="92"/>
      <c r="E900" s="83" t="s">
        <v>1037</v>
      </c>
      <c r="F900" s="49" t="s">
        <v>1036</v>
      </c>
      <c r="G900" s="85" t="s">
        <v>1057</v>
      </c>
      <c r="H900" s="85" t="n">
        <v>8</v>
      </c>
      <c r="I900" s="85"/>
      <c r="J900" s="85"/>
      <c r="K900" s="93" t="s">
        <v>53</v>
      </c>
      <c r="L900" s="93" t="s">
        <v>53</v>
      </c>
      <c r="M900" s="81" t="n">
        <v>2461</v>
      </c>
      <c r="N900" s="81" t="n">
        <v>554</v>
      </c>
      <c r="O900" s="90" t="n">
        <v>64</v>
      </c>
      <c r="P900" s="95" t="s">
        <v>1005</v>
      </c>
      <c r="Q900" s="81" t="n">
        <v>77</v>
      </c>
      <c r="R900" s="95" t="s">
        <v>1005</v>
      </c>
      <c r="S900" s="81" t="n">
        <v>44</v>
      </c>
      <c r="T900" s="95" t="s">
        <v>1005</v>
      </c>
      <c r="U900" s="81" t="n">
        <v>48</v>
      </c>
      <c r="V900" s="95" t="s">
        <v>1005</v>
      </c>
      <c r="W900" s="81" t="n">
        <v>36</v>
      </c>
      <c r="X900" s="95" t="s">
        <v>1005</v>
      </c>
      <c r="Y900" s="81" t="n">
        <v>6</v>
      </c>
      <c r="Z900" s="95" t="s">
        <v>1005</v>
      </c>
      <c r="AA900" s="81" t="n">
        <v>32</v>
      </c>
      <c r="AB900" s="95" t="s">
        <v>1005</v>
      </c>
      <c r="AC900" s="81" t="n">
        <v>7</v>
      </c>
      <c r="AD900" s="95" t="s">
        <v>1005</v>
      </c>
      <c r="AE900" s="81" t="n">
        <v>49</v>
      </c>
      <c r="AF900" s="95" t="s">
        <v>1005</v>
      </c>
      <c r="AG900" s="81" t="n">
        <v>62</v>
      </c>
      <c r="AH900" s="95" t="s">
        <v>1005</v>
      </c>
      <c r="AI900" s="81" t="n">
        <v>72</v>
      </c>
      <c r="AJ900" s="95" t="s">
        <v>1005</v>
      </c>
      <c r="AK900" s="81" t="n">
        <v>70</v>
      </c>
      <c r="AL900" s="95" t="s">
        <v>1005</v>
      </c>
      <c r="AM900" s="81" t="n">
        <f aca="false">O900+Q900+S900+U900+W900+Y900+AA900+AC900+AE900+AG900+AI900+AK900</f>
        <v>567</v>
      </c>
    </row>
    <row collapsed="false" customFormat="false" customHeight="true" hidden="false" ht="16.2" outlineLevel="0" r="901">
      <c r="A901" s="80" t="n">
        <v>464</v>
      </c>
      <c r="B901" s="100" t="s">
        <v>652</v>
      </c>
      <c r="C901" s="82" t="s">
        <v>1033</v>
      </c>
      <c r="D901" s="92" t="s">
        <v>1056</v>
      </c>
      <c r="E901" s="83" t="s">
        <v>1035</v>
      </c>
      <c r="F901" s="49" t="s">
        <v>1036</v>
      </c>
      <c r="G901" s="92"/>
      <c r="H901" s="85"/>
      <c r="I901" s="85"/>
      <c r="J901" s="85"/>
      <c r="K901" s="93"/>
      <c r="L901" s="93"/>
      <c r="M901" s="81"/>
      <c r="N901" s="81"/>
      <c r="O901" s="90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  <c r="AE901" s="95"/>
      <c r="AF901" s="95"/>
      <c r="AG901" s="95"/>
      <c r="AH901" s="95"/>
      <c r="AI901" s="95"/>
      <c r="AJ901" s="95"/>
      <c r="AK901" s="95"/>
      <c r="AL901" s="95"/>
      <c r="AM901" s="81"/>
    </row>
    <row collapsed="false" customFormat="false" customHeight="true" hidden="false" ht="16.2" outlineLevel="0" r="902">
      <c r="A902" s="80"/>
      <c r="B902" s="101"/>
      <c r="C902" s="85"/>
      <c r="D902" s="92"/>
      <c r="E902" s="83" t="s">
        <v>1037</v>
      </c>
      <c r="F902" s="49" t="s">
        <v>1036</v>
      </c>
      <c r="G902" s="85" t="s">
        <v>1057</v>
      </c>
      <c r="H902" s="85" t="n">
        <v>12</v>
      </c>
      <c r="I902" s="85" t="s">
        <v>1046</v>
      </c>
      <c r="J902" s="85" t="n">
        <v>3</v>
      </c>
      <c r="K902" s="93" t="s">
        <v>53</v>
      </c>
      <c r="L902" s="93" t="s">
        <v>53</v>
      </c>
      <c r="M902" s="81" t="n">
        <v>1775</v>
      </c>
      <c r="N902" s="81" t="n">
        <v>2315</v>
      </c>
      <c r="O902" s="90" t="n">
        <v>326</v>
      </c>
      <c r="P902" s="95" t="s">
        <v>1005</v>
      </c>
      <c r="Q902" s="81" t="n">
        <v>271</v>
      </c>
      <c r="R902" s="95" t="s">
        <v>1005</v>
      </c>
      <c r="S902" s="81" t="n">
        <v>171</v>
      </c>
      <c r="T902" s="95" t="s">
        <v>1005</v>
      </c>
      <c r="U902" s="81" t="n">
        <v>148</v>
      </c>
      <c r="V902" s="95" t="s">
        <v>1005</v>
      </c>
      <c r="W902" s="81" t="n">
        <v>119</v>
      </c>
      <c r="X902" s="95" t="s">
        <v>1005</v>
      </c>
      <c r="Y902" s="81" t="n">
        <v>58</v>
      </c>
      <c r="Z902" s="95" t="s">
        <v>1005</v>
      </c>
      <c r="AA902" s="81" t="n">
        <v>49</v>
      </c>
      <c r="AB902" s="95" t="s">
        <v>1005</v>
      </c>
      <c r="AC902" s="81" t="n">
        <v>61</v>
      </c>
      <c r="AD902" s="95" t="s">
        <v>1005</v>
      </c>
      <c r="AE902" s="81" t="n">
        <v>162</v>
      </c>
      <c r="AF902" s="95" t="s">
        <v>1005</v>
      </c>
      <c r="AG902" s="81" t="n">
        <v>257</v>
      </c>
      <c r="AH902" s="95" t="s">
        <v>1005</v>
      </c>
      <c r="AI902" s="81" t="n">
        <v>306</v>
      </c>
      <c r="AJ902" s="95" t="s">
        <v>1005</v>
      </c>
      <c r="AK902" s="81" t="n">
        <v>300</v>
      </c>
      <c r="AL902" s="95" t="s">
        <v>1005</v>
      </c>
      <c r="AM902" s="81" t="n">
        <f aca="false">O902+Q902+S902+U902+W902+Y902+AA902+AC902+AE902+AG902+AI902+AK902</f>
        <v>2228</v>
      </c>
    </row>
    <row collapsed="false" customFormat="false" customHeight="true" hidden="false" ht="16.2" outlineLevel="0" r="903">
      <c r="A903" s="80" t="n">
        <v>465</v>
      </c>
      <c r="B903" s="100" t="s">
        <v>653</v>
      </c>
      <c r="C903" s="82" t="s">
        <v>1033</v>
      </c>
      <c r="D903" s="92" t="s">
        <v>1056</v>
      </c>
      <c r="E903" s="83" t="s">
        <v>1035</v>
      </c>
      <c r="F903" s="49" t="s">
        <v>1036</v>
      </c>
      <c r="G903" s="92"/>
      <c r="H903" s="85"/>
      <c r="I903" s="85"/>
      <c r="J903" s="85"/>
      <c r="K903" s="93"/>
      <c r="L903" s="93"/>
      <c r="M903" s="81"/>
      <c r="N903" s="81"/>
      <c r="O903" s="90"/>
      <c r="P903" s="95"/>
      <c r="Q903" s="81"/>
      <c r="R903" s="95"/>
      <c r="S903" s="81"/>
      <c r="T903" s="95"/>
      <c r="U903" s="81"/>
      <c r="V903" s="95"/>
      <c r="W903" s="81"/>
      <c r="X903" s="95"/>
      <c r="Y903" s="81"/>
      <c r="Z903" s="95"/>
      <c r="AA903" s="81"/>
      <c r="AB903" s="95"/>
      <c r="AC903" s="81"/>
      <c r="AD903" s="95"/>
      <c r="AE903" s="81"/>
      <c r="AF903" s="95"/>
      <c r="AG903" s="81"/>
      <c r="AH903" s="95"/>
      <c r="AI903" s="81"/>
      <c r="AJ903" s="95"/>
      <c r="AK903" s="81"/>
      <c r="AL903" s="95"/>
      <c r="AM903" s="81"/>
    </row>
    <row collapsed="false" customFormat="false" customHeight="true" hidden="false" ht="16.2" outlineLevel="0" r="904">
      <c r="A904" s="80"/>
      <c r="B904" s="101"/>
      <c r="C904" s="85"/>
      <c r="D904" s="92"/>
      <c r="E904" s="83" t="s">
        <v>1037</v>
      </c>
      <c r="F904" s="49" t="s">
        <v>1036</v>
      </c>
      <c r="G904" s="85" t="s">
        <v>1057</v>
      </c>
      <c r="H904" s="85" t="n">
        <v>8</v>
      </c>
      <c r="I904" s="85" t="s">
        <v>1046</v>
      </c>
      <c r="J904" s="85" t="n">
        <v>2</v>
      </c>
      <c r="K904" s="93" t="s">
        <v>53</v>
      </c>
      <c r="L904" s="93" t="s">
        <v>53</v>
      </c>
      <c r="M904" s="81" t="n">
        <v>2463</v>
      </c>
      <c r="N904" s="81" t="n">
        <v>2684</v>
      </c>
      <c r="O904" s="90" t="n">
        <v>394</v>
      </c>
      <c r="P904" s="95" t="s">
        <v>1005</v>
      </c>
      <c r="Q904" s="81" t="n">
        <v>384</v>
      </c>
      <c r="R904" s="95" t="s">
        <v>1005</v>
      </c>
      <c r="S904" s="81" t="n">
        <v>282</v>
      </c>
      <c r="T904" s="95" t="s">
        <v>1005</v>
      </c>
      <c r="U904" s="81" t="n">
        <v>243</v>
      </c>
      <c r="V904" s="95" t="s">
        <v>1005</v>
      </c>
      <c r="W904" s="81" t="n">
        <v>237</v>
      </c>
      <c r="X904" s="95" t="s">
        <v>1005</v>
      </c>
      <c r="Y904" s="81" t="n">
        <v>119</v>
      </c>
      <c r="Z904" s="95" t="s">
        <v>1005</v>
      </c>
      <c r="AA904" s="81" t="n">
        <v>106</v>
      </c>
      <c r="AB904" s="95" t="s">
        <v>1005</v>
      </c>
      <c r="AC904" s="81" t="n">
        <v>92</v>
      </c>
      <c r="AD904" s="95" t="s">
        <v>1005</v>
      </c>
      <c r="AE904" s="81" t="n">
        <v>197</v>
      </c>
      <c r="AF904" s="95" t="s">
        <v>1005</v>
      </c>
      <c r="AG904" s="81" t="n">
        <v>282</v>
      </c>
      <c r="AH904" s="95" t="s">
        <v>1005</v>
      </c>
      <c r="AI904" s="81" t="n">
        <v>284</v>
      </c>
      <c r="AJ904" s="95" t="s">
        <v>1005</v>
      </c>
      <c r="AK904" s="81" t="n">
        <v>281</v>
      </c>
      <c r="AL904" s="95" t="s">
        <v>1005</v>
      </c>
      <c r="AM904" s="81" t="n">
        <f aca="false">O904+Q904+S904+U904+W904+Y904+AA904+AC904+AE904+AG904+AI904+AK904</f>
        <v>2901</v>
      </c>
    </row>
    <row collapsed="false" customFormat="false" customHeight="true" hidden="false" ht="16.2" outlineLevel="0" r="905">
      <c r="A905" s="80" t="n">
        <v>466</v>
      </c>
      <c r="B905" s="100" t="s">
        <v>654</v>
      </c>
      <c r="C905" s="82" t="s">
        <v>1033</v>
      </c>
      <c r="D905" s="92" t="s">
        <v>1056</v>
      </c>
      <c r="E905" s="83" t="s">
        <v>1035</v>
      </c>
      <c r="F905" s="49" t="s">
        <v>1036</v>
      </c>
      <c r="G905" s="92"/>
      <c r="H905" s="85"/>
      <c r="I905" s="85"/>
      <c r="J905" s="85"/>
      <c r="K905" s="93"/>
      <c r="L905" s="93"/>
      <c r="M905" s="81"/>
      <c r="N905" s="81"/>
      <c r="O905" s="90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  <c r="AE905" s="95"/>
      <c r="AF905" s="95"/>
      <c r="AG905" s="95"/>
      <c r="AH905" s="95"/>
      <c r="AI905" s="95"/>
      <c r="AJ905" s="95"/>
      <c r="AK905" s="95"/>
      <c r="AL905" s="95"/>
      <c r="AM905" s="81"/>
    </row>
    <row collapsed="false" customFormat="false" customHeight="true" hidden="false" ht="16.2" outlineLevel="0" r="906">
      <c r="A906" s="80"/>
      <c r="B906" s="101"/>
      <c r="C906" s="85"/>
      <c r="D906" s="92"/>
      <c r="E906" s="83" t="s">
        <v>1037</v>
      </c>
      <c r="F906" s="49" t="s">
        <v>1036</v>
      </c>
      <c r="G906" s="85" t="s">
        <v>1057</v>
      </c>
      <c r="H906" s="85" t="n">
        <v>12</v>
      </c>
      <c r="I906" s="85" t="s">
        <v>1046</v>
      </c>
      <c r="J906" s="85" t="n">
        <v>3</v>
      </c>
      <c r="K906" s="93" t="s">
        <v>53</v>
      </c>
      <c r="L906" s="93" t="s">
        <v>53</v>
      </c>
      <c r="M906" s="81" t="n">
        <v>1100</v>
      </c>
      <c r="N906" s="81" t="n">
        <v>1421</v>
      </c>
      <c r="O906" s="90" t="n">
        <v>179</v>
      </c>
      <c r="P906" s="95" t="s">
        <v>1005</v>
      </c>
      <c r="Q906" s="81" t="n">
        <v>199</v>
      </c>
      <c r="R906" s="95" t="s">
        <v>1005</v>
      </c>
      <c r="S906" s="81" t="n">
        <v>126</v>
      </c>
      <c r="T906" s="95" t="s">
        <v>1005</v>
      </c>
      <c r="U906" s="81" t="n">
        <v>85</v>
      </c>
      <c r="V906" s="95" t="s">
        <v>1005</v>
      </c>
      <c r="W906" s="81" t="n">
        <v>83</v>
      </c>
      <c r="X906" s="95" t="s">
        <v>1005</v>
      </c>
      <c r="Y906" s="81" t="n">
        <v>66</v>
      </c>
      <c r="Z906" s="95" t="s">
        <v>1005</v>
      </c>
      <c r="AA906" s="81" t="n">
        <v>53</v>
      </c>
      <c r="AB906" s="95" t="s">
        <v>1005</v>
      </c>
      <c r="AC906" s="81" t="n">
        <v>48</v>
      </c>
      <c r="AD906" s="95" t="s">
        <v>1005</v>
      </c>
      <c r="AE906" s="81" t="n">
        <v>106</v>
      </c>
      <c r="AF906" s="95" t="s">
        <v>1005</v>
      </c>
      <c r="AG906" s="81" t="n">
        <v>106</v>
      </c>
      <c r="AH906" s="95" t="s">
        <v>1005</v>
      </c>
      <c r="AI906" s="81" t="n">
        <v>131</v>
      </c>
      <c r="AJ906" s="95" t="s">
        <v>1005</v>
      </c>
      <c r="AK906" s="81" t="n">
        <v>134</v>
      </c>
      <c r="AL906" s="95" t="s">
        <v>1005</v>
      </c>
      <c r="AM906" s="81" t="n">
        <f aca="false">O906+Q906+S906+U906+W906+Y906+AA906+AC906+AE906+AG906+AI906+AK906</f>
        <v>1316</v>
      </c>
    </row>
    <row collapsed="false" customFormat="false" customHeight="true" hidden="false" ht="16.2" outlineLevel="0" r="907">
      <c r="A907" s="80" t="n">
        <v>467</v>
      </c>
      <c r="B907" s="100" t="s">
        <v>655</v>
      </c>
      <c r="C907" s="82" t="s">
        <v>1033</v>
      </c>
      <c r="D907" s="92" t="s">
        <v>1056</v>
      </c>
      <c r="E907" s="83" t="s">
        <v>1035</v>
      </c>
      <c r="F907" s="49" t="s">
        <v>1036</v>
      </c>
      <c r="G907" s="92"/>
      <c r="H907" s="85"/>
      <c r="I907" s="85"/>
      <c r="J907" s="85"/>
      <c r="K907" s="93"/>
      <c r="L907" s="93"/>
      <c r="M907" s="81"/>
      <c r="N907" s="81"/>
      <c r="O907" s="90"/>
      <c r="P907" s="95"/>
      <c r="Q907" s="81"/>
      <c r="R907" s="95"/>
      <c r="S907" s="81"/>
      <c r="T907" s="95"/>
      <c r="U907" s="81"/>
      <c r="V907" s="95"/>
      <c r="W907" s="81"/>
      <c r="X907" s="95"/>
      <c r="Y907" s="81"/>
      <c r="Z907" s="95"/>
      <c r="AA907" s="81"/>
      <c r="AB907" s="95"/>
      <c r="AC907" s="81"/>
      <c r="AD907" s="95"/>
      <c r="AE907" s="81"/>
      <c r="AF907" s="95"/>
      <c r="AG907" s="81"/>
      <c r="AH907" s="95"/>
      <c r="AI907" s="81"/>
      <c r="AJ907" s="95"/>
      <c r="AK907" s="81"/>
      <c r="AL907" s="95"/>
      <c r="AM907" s="81"/>
    </row>
    <row collapsed="false" customFormat="false" customHeight="true" hidden="false" ht="16.2" outlineLevel="0" r="908">
      <c r="A908" s="80"/>
      <c r="B908" s="101"/>
      <c r="C908" s="85"/>
      <c r="D908" s="92"/>
      <c r="E908" s="83" t="s">
        <v>1037</v>
      </c>
      <c r="F908" s="49" t="s">
        <v>1036</v>
      </c>
      <c r="G908" s="85" t="s">
        <v>1057</v>
      </c>
      <c r="H908" s="85" t="n">
        <v>8</v>
      </c>
      <c r="I908" s="85"/>
      <c r="J908" s="85"/>
      <c r="K908" s="93" t="s">
        <v>53</v>
      </c>
      <c r="L908" s="93" t="s">
        <v>53</v>
      </c>
      <c r="M908" s="81" t="n">
        <v>4282</v>
      </c>
      <c r="N908" s="81" t="n">
        <v>4905</v>
      </c>
      <c r="O908" s="90" t="n">
        <v>509</v>
      </c>
      <c r="P908" s="95" t="s">
        <v>1005</v>
      </c>
      <c r="Q908" s="81" t="n">
        <v>534</v>
      </c>
      <c r="R908" s="95" t="s">
        <v>1005</v>
      </c>
      <c r="S908" s="81" t="n">
        <v>321</v>
      </c>
      <c r="T908" s="95" t="s">
        <v>1005</v>
      </c>
      <c r="U908" s="81" t="n">
        <v>340</v>
      </c>
      <c r="V908" s="95" t="s">
        <v>1005</v>
      </c>
      <c r="W908" s="81" t="n">
        <v>259</v>
      </c>
      <c r="X908" s="95" t="s">
        <v>1005</v>
      </c>
      <c r="Y908" s="81" t="n">
        <v>191</v>
      </c>
      <c r="Z908" s="95" t="s">
        <v>1005</v>
      </c>
      <c r="AA908" s="81" t="n">
        <v>188</v>
      </c>
      <c r="AB908" s="95" t="s">
        <v>1005</v>
      </c>
      <c r="AC908" s="81" t="n">
        <v>118</v>
      </c>
      <c r="AD908" s="95" t="s">
        <v>1005</v>
      </c>
      <c r="AE908" s="81" t="n">
        <v>320</v>
      </c>
      <c r="AF908" s="95" t="s">
        <v>1005</v>
      </c>
      <c r="AG908" s="81" t="n">
        <v>388</v>
      </c>
      <c r="AH908" s="95" t="s">
        <v>1005</v>
      </c>
      <c r="AI908" s="81" t="n">
        <v>451</v>
      </c>
      <c r="AJ908" s="95" t="s">
        <v>1005</v>
      </c>
      <c r="AK908" s="81" t="n">
        <v>448</v>
      </c>
      <c r="AL908" s="95" t="s">
        <v>1005</v>
      </c>
      <c r="AM908" s="81" t="n">
        <f aca="false">O908+Q908+S908+U908+W908+Y908+AA908+AC908+AE908+AG908+AI908+AK908</f>
        <v>4067</v>
      </c>
    </row>
    <row collapsed="false" customFormat="false" customHeight="true" hidden="false" ht="16.2" outlineLevel="0" r="909">
      <c r="A909" s="80" t="n">
        <v>468</v>
      </c>
      <c r="B909" s="100" t="s">
        <v>656</v>
      </c>
      <c r="C909" s="82" t="s">
        <v>1033</v>
      </c>
      <c r="D909" s="92" t="s">
        <v>1056</v>
      </c>
      <c r="E909" s="83" t="s">
        <v>1035</v>
      </c>
      <c r="F909" s="49" t="s">
        <v>1036</v>
      </c>
      <c r="G909" s="92"/>
      <c r="H909" s="85"/>
      <c r="I909" s="85"/>
      <c r="J909" s="85"/>
      <c r="K909" s="93"/>
      <c r="L909" s="93"/>
      <c r="M909" s="81"/>
      <c r="N909" s="81"/>
      <c r="O909" s="90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  <c r="AE909" s="95"/>
      <c r="AF909" s="95"/>
      <c r="AG909" s="95"/>
      <c r="AH909" s="95"/>
      <c r="AI909" s="95"/>
      <c r="AJ909" s="95"/>
      <c r="AK909" s="95"/>
      <c r="AL909" s="95"/>
      <c r="AM909" s="81"/>
    </row>
    <row collapsed="false" customFormat="false" customHeight="true" hidden="false" ht="16.2" outlineLevel="0" r="910">
      <c r="A910" s="80"/>
      <c r="B910" s="101"/>
      <c r="C910" s="85"/>
      <c r="D910" s="92"/>
      <c r="E910" s="83" t="s">
        <v>1037</v>
      </c>
      <c r="F910" s="49" t="s">
        <v>1036</v>
      </c>
      <c r="G910" s="85" t="s">
        <v>1057</v>
      </c>
      <c r="H910" s="85" t="n">
        <v>12</v>
      </c>
      <c r="I910" s="85" t="s">
        <v>1046</v>
      </c>
      <c r="J910" s="85" t="n">
        <v>3</v>
      </c>
      <c r="K910" s="93" t="s">
        <v>53</v>
      </c>
      <c r="L910" s="93" t="s">
        <v>53</v>
      </c>
      <c r="M910" s="81" t="n">
        <v>2557</v>
      </c>
      <c r="N910" s="81" t="n">
        <v>2486</v>
      </c>
      <c r="O910" s="90" t="n">
        <v>267</v>
      </c>
      <c r="P910" s="95" t="s">
        <v>1005</v>
      </c>
      <c r="Q910" s="81" t="n">
        <v>279</v>
      </c>
      <c r="R910" s="95" t="s">
        <v>1005</v>
      </c>
      <c r="S910" s="81" t="n">
        <v>161</v>
      </c>
      <c r="T910" s="95" t="s">
        <v>1005</v>
      </c>
      <c r="U910" s="81" t="n">
        <v>194</v>
      </c>
      <c r="V910" s="95" t="s">
        <v>1005</v>
      </c>
      <c r="W910" s="81" t="n">
        <v>163</v>
      </c>
      <c r="X910" s="95" t="s">
        <v>1005</v>
      </c>
      <c r="Y910" s="81" t="n">
        <v>199</v>
      </c>
      <c r="Z910" s="95" t="s">
        <v>1005</v>
      </c>
      <c r="AA910" s="81" t="n">
        <v>61</v>
      </c>
      <c r="AB910" s="95" t="s">
        <v>1005</v>
      </c>
      <c r="AC910" s="81" t="n">
        <v>118</v>
      </c>
      <c r="AD910" s="95" t="s">
        <v>1005</v>
      </c>
      <c r="AE910" s="81" t="n">
        <v>167</v>
      </c>
      <c r="AF910" s="95" t="s">
        <v>1005</v>
      </c>
      <c r="AG910" s="81" t="n">
        <v>199</v>
      </c>
      <c r="AH910" s="95" t="s">
        <v>1005</v>
      </c>
      <c r="AI910" s="81" t="n">
        <v>266</v>
      </c>
      <c r="AJ910" s="95" t="s">
        <v>1005</v>
      </c>
      <c r="AK910" s="81" t="n">
        <v>260</v>
      </c>
      <c r="AL910" s="95" t="s">
        <v>1005</v>
      </c>
      <c r="AM910" s="81" t="n">
        <f aca="false">O910+Q910+S910+U910+W910+Y910+AA910+AC910+AE910+AG910+AI910+AK910</f>
        <v>2334</v>
      </c>
    </row>
    <row collapsed="false" customFormat="false" customHeight="true" hidden="false" ht="16.2" outlineLevel="0" r="911">
      <c r="A911" s="80" t="n">
        <v>469</v>
      </c>
      <c r="B911" s="100" t="s">
        <v>658</v>
      </c>
      <c r="C911" s="82" t="s">
        <v>1033</v>
      </c>
      <c r="D911" s="92" t="s">
        <v>1056</v>
      </c>
      <c r="E911" s="83" t="s">
        <v>1035</v>
      </c>
      <c r="F911" s="49" t="s">
        <v>1036</v>
      </c>
      <c r="G911" s="92"/>
      <c r="H911" s="85"/>
      <c r="I911" s="85"/>
      <c r="J911" s="85"/>
      <c r="K911" s="93"/>
      <c r="L911" s="93"/>
      <c r="M911" s="81"/>
      <c r="N911" s="81"/>
      <c r="O911" s="90"/>
      <c r="P911" s="95"/>
      <c r="Q911" s="81"/>
      <c r="R911" s="95"/>
      <c r="S911" s="81"/>
      <c r="T911" s="95"/>
      <c r="U911" s="81"/>
      <c r="V911" s="95"/>
      <c r="W911" s="81"/>
      <c r="X911" s="95"/>
      <c r="Y911" s="81"/>
      <c r="Z911" s="95"/>
      <c r="AA911" s="81"/>
      <c r="AB911" s="95"/>
      <c r="AC911" s="81"/>
      <c r="AD911" s="95"/>
      <c r="AE911" s="81"/>
      <c r="AF911" s="95"/>
      <c r="AG911" s="81"/>
      <c r="AH911" s="95"/>
      <c r="AI911" s="81"/>
      <c r="AJ911" s="95"/>
      <c r="AK911" s="81"/>
      <c r="AL911" s="95"/>
      <c r="AM911" s="81"/>
    </row>
    <row collapsed="false" customFormat="false" customHeight="true" hidden="false" ht="16.2" outlineLevel="0" r="912">
      <c r="A912" s="80"/>
      <c r="B912" s="101"/>
      <c r="C912" s="85"/>
      <c r="D912" s="92"/>
      <c r="E912" s="83" t="s">
        <v>1037</v>
      </c>
      <c r="F912" s="49" t="s">
        <v>1036</v>
      </c>
      <c r="G912" s="85" t="s">
        <v>1057</v>
      </c>
      <c r="H912" s="85" t="n">
        <v>8</v>
      </c>
      <c r="I912" s="85"/>
      <c r="J912" s="85"/>
      <c r="K912" s="93" t="s">
        <v>53</v>
      </c>
      <c r="L912" s="93" t="s">
        <v>53</v>
      </c>
      <c r="M912" s="81" t="n">
        <v>1107</v>
      </c>
      <c r="N912" s="81" t="n">
        <v>1025</v>
      </c>
      <c r="O912" s="90" t="n">
        <v>132</v>
      </c>
      <c r="P912" s="95" t="s">
        <v>1005</v>
      </c>
      <c r="Q912" s="81" t="n">
        <v>146</v>
      </c>
      <c r="R912" s="95" t="s">
        <v>1005</v>
      </c>
      <c r="S912" s="81" t="n">
        <v>77</v>
      </c>
      <c r="T912" s="95" t="s">
        <v>1005</v>
      </c>
      <c r="U912" s="81" t="n">
        <v>80</v>
      </c>
      <c r="V912" s="95" t="s">
        <v>1005</v>
      </c>
      <c r="W912" s="81" t="n">
        <v>116</v>
      </c>
      <c r="X912" s="95" t="s">
        <v>1005</v>
      </c>
      <c r="Y912" s="81" t="n">
        <v>52</v>
      </c>
      <c r="Z912" s="95" t="s">
        <v>1005</v>
      </c>
      <c r="AA912" s="81" t="n">
        <v>47</v>
      </c>
      <c r="AB912" s="95" t="s">
        <v>1005</v>
      </c>
      <c r="AC912" s="81" t="n">
        <v>35</v>
      </c>
      <c r="AD912" s="95" t="s">
        <v>1005</v>
      </c>
      <c r="AE912" s="81" t="n">
        <v>97</v>
      </c>
      <c r="AF912" s="95" t="s">
        <v>1005</v>
      </c>
      <c r="AG912" s="81" t="n">
        <v>94</v>
      </c>
      <c r="AH912" s="95" t="s">
        <v>1005</v>
      </c>
      <c r="AI912" s="81" t="n">
        <v>111</v>
      </c>
      <c r="AJ912" s="95" t="s">
        <v>1005</v>
      </c>
      <c r="AK912" s="81" t="n">
        <v>112</v>
      </c>
      <c r="AL912" s="95" t="s">
        <v>1005</v>
      </c>
      <c r="AM912" s="81" t="n">
        <f aca="false">O912+Q912+S912+U912+W912+Y912+AA912+AC912+AE912+AG912+AI912+AK912</f>
        <v>1099</v>
      </c>
    </row>
    <row collapsed="false" customFormat="false" customHeight="true" hidden="false" ht="16.2" outlineLevel="0" r="913">
      <c r="A913" s="80" t="n">
        <v>470</v>
      </c>
      <c r="B913" s="100" t="s">
        <v>660</v>
      </c>
      <c r="C913" s="82" t="s">
        <v>1033</v>
      </c>
      <c r="D913" s="92" t="s">
        <v>1056</v>
      </c>
      <c r="E913" s="83" t="s">
        <v>1035</v>
      </c>
      <c r="F913" s="49" t="s">
        <v>1036</v>
      </c>
      <c r="G913" s="92"/>
      <c r="H913" s="85"/>
      <c r="I913" s="85"/>
      <c r="J913" s="85"/>
      <c r="K913" s="93"/>
      <c r="L913" s="93"/>
      <c r="M913" s="81"/>
      <c r="N913" s="81"/>
      <c r="O913" s="90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  <c r="AE913" s="95"/>
      <c r="AF913" s="95"/>
      <c r="AG913" s="95"/>
      <c r="AH913" s="95"/>
      <c r="AI913" s="95"/>
      <c r="AJ913" s="95"/>
      <c r="AK913" s="95"/>
      <c r="AL913" s="95"/>
      <c r="AM913" s="81"/>
    </row>
    <row collapsed="false" customFormat="false" customHeight="true" hidden="false" ht="16.2" outlineLevel="0" r="914">
      <c r="A914" s="80"/>
      <c r="B914" s="101"/>
      <c r="C914" s="85"/>
      <c r="D914" s="92"/>
      <c r="E914" s="83" t="s">
        <v>1037</v>
      </c>
      <c r="F914" s="49" t="s">
        <v>1036</v>
      </c>
      <c r="G914" s="85" t="s">
        <v>1057</v>
      </c>
      <c r="H914" s="85" t="n">
        <v>12</v>
      </c>
      <c r="I914" s="85"/>
      <c r="J914" s="85"/>
      <c r="K914" s="93" t="s">
        <v>53</v>
      </c>
      <c r="L914" s="93" t="s">
        <v>53</v>
      </c>
      <c r="M914" s="81" t="n">
        <v>8936</v>
      </c>
      <c r="N914" s="81" t="n">
        <v>7380</v>
      </c>
      <c r="O914" s="90" t="n">
        <v>650</v>
      </c>
      <c r="P914" s="95" t="s">
        <v>1005</v>
      </c>
      <c r="Q914" s="81" t="n">
        <v>794</v>
      </c>
      <c r="R914" s="95" t="s">
        <v>1005</v>
      </c>
      <c r="S914" s="81" t="n">
        <v>476</v>
      </c>
      <c r="T914" s="95" t="s">
        <v>1005</v>
      </c>
      <c r="U914" s="81" t="n">
        <v>544</v>
      </c>
      <c r="V914" s="95" t="s">
        <v>1005</v>
      </c>
      <c r="W914" s="81" t="n">
        <v>512</v>
      </c>
      <c r="X914" s="95" t="s">
        <v>1005</v>
      </c>
      <c r="Y914" s="81" t="n">
        <v>494</v>
      </c>
      <c r="Z914" s="95" t="s">
        <v>1005</v>
      </c>
      <c r="AA914" s="81" t="n">
        <v>511</v>
      </c>
      <c r="AB914" s="95" t="s">
        <v>1005</v>
      </c>
      <c r="AC914" s="81" t="n">
        <v>433</v>
      </c>
      <c r="AD914" s="95" t="s">
        <v>1005</v>
      </c>
      <c r="AE914" s="81" t="n">
        <v>498</v>
      </c>
      <c r="AF914" s="95" t="s">
        <v>1005</v>
      </c>
      <c r="AG914" s="81" t="n">
        <v>541</v>
      </c>
      <c r="AH914" s="95" t="s">
        <v>1005</v>
      </c>
      <c r="AI914" s="81" t="n">
        <v>583</v>
      </c>
      <c r="AJ914" s="95" t="s">
        <v>1005</v>
      </c>
      <c r="AK914" s="81" t="n">
        <v>579</v>
      </c>
      <c r="AL914" s="95" t="s">
        <v>1005</v>
      </c>
      <c r="AM914" s="81" t="n">
        <f aca="false">O914+Q914+S914+U914+W914+Y914+AA914+AC914+AE914+AG914+AI914+AK914</f>
        <v>6615</v>
      </c>
    </row>
    <row collapsed="false" customFormat="false" customHeight="true" hidden="false" ht="16.2" outlineLevel="0" r="915">
      <c r="A915" s="80" t="n">
        <v>471</v>
      </c>
      <c r="B915" s="100" t="s">
        <v>661</v>
      </c>
      <c r="C915" s="82" t="s">
        <v>1033</v>
      </c>
      <c r="D915" s="92" t="s">
        <v>1056</v>
      </c>
      <c r="E915" s="83" t="s">
        <v>1035</v>
      </c>
      <c r="F915" s="49" t="s">
        <v>1036</v>
      </c>
      <c r="G915" s="92"/>
      <c r="H915" s="85"/>
      <c r="I915" s="85"/>
      <c r="J915" s="85"/>
      <c r="K915" s="93"/>
      <c r="L915" s="93"/>
      <c r="M915" s="81"/>
      <c r="N915" s="81"/>
      <c r="O915" s="90"/>
      <c r="P915" s="95"/>
      <c r="Q915" s="81"/>
      <c r="R915" s="95"/>
      <c r="S915" s="81"/>
      <c r="T915" s="95"/>
      <c r="U915" s="81"/>
      <c r="V915" s="95"/>
      <c r="W915" s="81"/>
      <c r="X915" s="95"/>
      <c r="Y915" s="81"/>
      <c r="Z915" s="95"/>
      <c r="AA915" s="81"/>
      <c r="AB915" s="95"/>
      <c r="AC915" s="81"/>
      <c r="AD915" s="95"/>
      <c r="AE915" s="81"/>
      <c r="AF915" s="95"/>
      <c r="AG915" s="81"/>
      <c r="AH915" s="95"/>
      <c r="AI915" s="81"/>
      <c r="AJ915" s="95"/>
      <c r="AK915" s="81"/>
      <c r="AL915" s="95"/>
      <c r="AM915" s="81"/>
    </row>
    <row collapsed="false" customFormat="false" customHeight="true" hidden="false" ht="16.2" outlineLevel="0" r="916">
      <c r="A916" s="80"/>
      <c r="B916" s="101"/>
      <c r="C916" s="85"/>
      <c r="D916" s="92"/>
      <c r="E916" s="83" t="s">
        <v>1037</v>
      </c>
      <c r="F916" s="49" t="s">
        <v>1036</v>
      </c>
      <c r="G916" s="85" t="s">
        <v>1057</v>
      </c>
      <c r="H916" s="85" t="n">
        <v>30</v>
      </c>
      <c r="I916" s="85" t="s">
        <v>1046</v>
      </c>
      <c r="J916" s="85" t="n">
        <v>6</v>
      </c>
      <c r="K916" s="93" t="s">
        <v>53</v>
      </c>
      <c r="L916" s="93" t="s">
        <v>53</v>
      </c>
      <c r="M916" s="81" t="n">
        <v>342</v>
      </c>
      <c r="N916" s="81" t="n">
        <v>527</v>
      </c>
      <c r="O916" s="90" t="n">
        <v>40</v>
      </c>
      <c r="P916" s="95" t="s">
        <v>1005</v>
      </c>
      <c r="Q916" s="81" t="n">
        <v>35</v>
      </c>
      <c r="R916" s="95" t="s">
        <v>1005</v>
      </c>
      <c r="S916" s="81" t="n">
        <v>34</v>
      </c>
      <c r="T916" s="95" t="s">
        <v>1005</v>
      </c>
      <c r="U916" s="81" t="n">
        <v>24</v>
      </c>
      <c r="V916" s="95" t="s">
        <v>1005</v>
      </c>
      <c r="W916" s="81" t="n">
        <v>20</v>
      </c>
      <c r="X916" s="95" t="s">
        <v>1005</v>
      </c>
      <c r="Y916" s="81" t="n">
        <v>14</v>
      </c>
      <c r="Z916" s="95" t="s">
        <v>1005</v>
      </c>
      <c r="AA916" s="81" t="n">
        <v>52</v>
      </c>
      <c r="AB916" s="95" t="s">
        <v>1005</v>
      </c>
      <c r="AC916" s="81" t="n">
        <v>25</v>
      </c>
      <c r="AD916" s="95" t="s">
        <v>1005</v>
      </c>
      <c r="AE916" s="81" t="n">
        <v>44</v>
      </c>
      <c r="AF916" s="95" t="s">
        <v>1005</v>
      </c>
      <c r="AG916" s="81" t="n">
        <v>42</v>
      </c>
      <c r="AH916" s="95" t="s">
        <v>1005</v>
      </c>
      <c r="AI916" s="81" t="n">
        <v>35</v>
      </c>
      <c r="AJ916" s="95" t="s">
        <v>1005</v>
      </c>
      <c r="AK916" s="81" t="n">
        <v>35</v>
      </c>
      <c r="AL916" s="95" t="s">
        <v>1005</v>
      </c>
      <c r="AM916" s="81" t="n">
        <f aca="false">O916+Q916+S916+U916+W916+Y916+AA916+AC916+AE916+AG916+AI916+AK916</f>
        <v>400</v>
      </c>
    </row>
    <row collapsed="false" customFormat="false" customHeight="true" hidden="false" ht="16.2" outlineLevel="0" r="917">
      <c r="A917" s="80" t="n">
        <v>472</v>
      </c>
      <c r="B917" s="100" t="s">
        <v>664</v>
      </c>
      <c r="C917" s="82" t="s">
        <v>1033</v>
      </c>
      <c r="D917" s="92" t="s">
        <v>1056</v>
      </c>
      <c r="E917" s="83" t="s">
        <v>1035</v>
      </c>
      <c r="F917" s="49" t="s">
        <v>1036</v>
      </c>
      <c r="G917" s="92"/>
      <c r="H917" s="85"/>
      <c r="I917" s="85"/>
      <c r="J917" s="85"/>
      <c r="K917" s="93"/>
      <c r="L917" s="93"/>
      <c r="M917" s="81"/>
      <c r="N917" s="81"/>
      <c r="O917" s="90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  <c r="AE917" s="95"/>
      <c r="AF917" s="95"/>
      <c r="AG917" s="95"/>
      <c r="AH917" s="95"/>
      <c r="AI917" s="95"/>
      <c r="AJ917" s="95"/>
      <c r="AK917" s="95"/>
      <c r="AL917" s="95"/>
      <c r="AM917" s="81"/>
    </row>
    <row collapsed="false" customFormat="false" customHeight="true" hidden="false" ht="16.2" outlineLevel="0" r="918">
      <c r="A918" s="80"/>
      <c r="B918" s="101"/>
      <c r="C918" s="85"/>
      <c r="D918" s="92"/>
      <c r="E918" s="83" t="s">
        <v>1037</v>
      </c>
      <c r="F918" s="49" t="s">
        <v>1036</v>
      </c>
      <c r="G918" s="85" t="s">
        <v>1057</v>
      </c>
      <c r="H918" s="85" t="n">
        <v>6</v>
      </c>
      <c r="I918" s="85" t="s">
        <v>1046</v>
      </c>
      <c r="J918" s="85" t="n">
        <v>2</v>
      </c>
      <c r="K918" s="93" t="s">
        <v>53</v>
      </c>
      <c r="L918" s="93" t="s">
        <v>53</v>
      </c>
      <c r="M918" s="81" t="n">
        <v>1429</v>
      </c>
      <c r="N918" s="81" t="n">
        <v>1174</v>
      </c>
      <c r="O918" s="90" t="n">
        <v>129</v>
      </c>
      <c r="P918" s="95" t="s">
        <v>1005</v>
      </c>
      <c r="Q918" s="81" t="n">
        <v>143</v>
      </c>
      <c r="R918" s="95" t="s">
        <v>1005</v>
      </c>
      <c r="S918" s="81" t="n">
        <v>67</v>
      </c>
      <c r="T918" s="95" t="s">
        <v>1005</v>
      </c>
      <c r="U918" s="81" t="n">
        <v>100</v>
      </c>
      <c r="V918" s="95" t="s">
        <v>1005</v>
      </c>
      <c r="W918" s="81" t="n">
        <v>80</v>
      </c>
      <c r="X918" s="95" t="s">
        <v>1005</v>
      </c>
      <c r="Y918" s="81" t="n">
        <v>68</v>
      </c>
      <c r="Z918" s="95" t="s">
        <v>1005</v>
      </c>
      <c r="AA918" s="81" t="n">
        <v>65</v>
      </c>
      <c r="AB918" s="95" t="s">
        <v>1005</v>
      </c>
      <c r="AC918" s="81" t="n">
        <v>77</v>
      </c>
      <c r="AD918" s="95" t="s">
        <v>1005</v>
      </c>
      <c r="AE918" s="81" t="n">
        <v>106</v>
      </c>
      <c r="AF918" s="95" t="s">
        <v>1005</v>
      </c>
      <c r="AG918" s="81" t="n">
        <v>87</v>
      </c>
      <c r="AH918" s="95" t="s">
        <v>1005</v>
      </c>
      <c r="AI918" s="81" t="n">
        <v>98</v>
      </c>
      <c r="AJ918" s="95" t="s">
        <v>1005</v>
      </c>
      <c r="AK918" s="81" t="n">
        <v>99</v>
      </c>
      <c r="AL918" s="95" t="s">
        <v>1005</v>
      </c>
      <c r="AM918" s="81" t="n">
        <f aca="false">O918+Q918+S918+U918+W918+Y918+AA918+AC918+AE918+AG918+AI918+AK918</f>
        <v>1119</v>
      </c>
    </row>
    <row collapsed="false" customFormat="false" customHeight="true" hidden="false" ht="16.2" outlineLevel="0" r="919">
      <c r="A919" s="80" t="n">
        <v>473</v>
      </c>
      <c r="B919" s="100" t="s">
        <v>665</v>
      </c>
      <c r="C919" s="82" t="s">
        <v>1033</v>
      </c>
      <c r="D919" s="92" t="s">
        <v>1056</v>
      </c>
      <c r="E919" s="83" t="s">
        <v>1035</v>
      </c>
      <c r="F919" s="49" t="s">
        <v>1036</v>
      </c>
      <c r="G919" s="92"/>
      <c r="H919" s="85"/>
      <c r="I919" s="85"/>
      <c r="J919" s="85"/>
      <c r="K919" s="93"/>
      <c r="L919" s="93"/>
      <c r="M919" s="81"/>
      <c r="N919" s="81"/>
      <c r="O919" s="90"/>
      <c r="P919" s="95"/>
      <c r="Q919" s="81"/>
      <c r="R919" s="95"/>
      <c r="S919" s="81"/>
      <c r="T919" s="95"/>
      <c r="U919" s="81"/>
      <c r="V919" s="95"/>
      <c r="W919" s="81"/>
      <c r="X919" s="95"/>
      <c r="Y919" s="81"/>
      <c r="Z919" s="95"/>
      <c r="AA919" s="81"/>
      <c r="AB919" s="95"/>
      <c r="AC919" s="81"/>
      <c r="AD919" s="95"/>
      <c r="AE919" s="81"/>
      <c r="AF919" s="95"/>
      <c r="AG919" s="81"/>
      <c r="AH919" s="95"/>
      <c r="AI919" s="81"/>
      <c r="AJ919" s="95"/>
      <c r="AK919" s="81"/>
      <c r="AL919" s="95"/>
      <c r="AM919" s="81"/>
    </row>
    <row collapsed="false" customFormat="false" customHeight="true" hidden="false" ht="16.2" outlineLevel="0" r="920">
      <c r="A920" s="80"/>
      <c r="B920" s="101"/>
      <c r="C920" s="85"/>
      <c r="D920" s="92"/>
      <c r="E920" s="83" t="s">
        <v>1037</v>
      </c>
      <c r="F920" s="49" t="s">
        <v>1036</v>
      </c>
      <c r="G920" s="85" t="s">
        <v>1057</v>
      </c>
      <c r="H920" s="85" t="n">
        <v>12</v>
      </c>
      <c r="I920" s="85"/>
      <c r="J920" s="85"/>
      <c r="K920" s="93" t="s">
        <v>53</v>
      </c>
      <c r="L920" s="93" t="s">
        <v>53</v>
      </c>
      <c r="M920" s="81" t="n">
        <v>1366</v>
      </c>
      <c r="N920" s="81" t="n">
        <v>1048</v>
      </c>
      <c r="O920" s="90" t="n">
        <v>106</v>
      </c>
      <c r="P920" s="95" t="s">
        <v>1005</v>
      </c>
      <c r="Q920" s="81" t="n">
        <v>104</v>
      </c>
      <c r="R920" s="95" t="s">
        <v>1005</v>
      </c>
      <c r="S920" s="81" t="n">
        <v>70</v>
      </c>
      <c r="T920" s="95" t="s">
        <v>1005</v>
      </c>
      <c r="U920" s="81" t="n">
        <v>106</v>
      </c>
      <c r="V920" s="95" t="s">
        <v>1005</v>
      </c>
      <c r="W920" s="81" t="n">
        <v>77</v>
      </c>
      <c r="X920" s="95" t="s">
        <v>1005</v>
      </c>
      <c r="Y920" s="81" t="n">
        <v>91</v>
      </c>
      <c r="Z920" s="95" t="s">
        <v>1005</v>
      </c>
      <c r="AA920" s="81" t="n">
        <v>42</v>
      </c>
      <c r="AB920" s="95" t="s">
        <v>1005</v>
      </c>
      <c r="AC920" s="81" t="n">
        <v>52</v>
      </c>
      <c r="AD920" s="95" t="s">
        <v>1005</v>
      </c>
      <c r="AE920" s="81" t="n">
        <v>70</v>
      </c>
      <c r="AF920" s="95" t="s">
        <v>1005</v>
      </c>
      <c r="AG920" s="81" t="n">
        <v>72</v>
      </c>
      <c r="AH920" s="95" t="s">
        <v>1005</v>
      </c>
      <c r="AI920" s="81" t="n">
        <v>112</v>
      </c>
      <c r="AJ920" s="95" t="s">
        <v>1005</v>
      </c>
      <c r="AK920" s="81" t="n">
        <v>109</v>
      </c>
      <c r="AL920" s="95" t="s">
        <v>1005</v>
      </c>
      <c r="AM920" s="81" t="n">
        <f aca="false">O920+Q920+S920+U920+W920+Y920+AA920+AC920+AE920+AG920+AI920+AK920</f>
        <v>1011</v>
      </c>
    </row>
    <row collapsed="false" customFormat="false" customHeight="true" hidden="false" ht="16.2" outlineLevel="0" r="921">
      <c r="A921" s="80" t="n">
        <v>474</v>
      </c>
      <c r="B921" s="100" t="s">
        <v>666</v>
      </c>
      <c r="C921" s="82" t="s">
        <v>1033</v>
      </c>
      <c r="D921" s="92" t="s">
        <v>1056</v>
      </c>
      <c r="E921" s="83" t="s">
        <v>1035</v>
      </c>
      <c r="F921" s="49" t="s">
        <v>1036</v>
      </c>
      <c r="G921" s="92"/>
      <c r="H921" s="85"/>
      <c r="I921" s="85"/>
      <c r="J921" s="85"/>
      <c r="K921" s="93"/>
      <c r="L921" s="93"/>
      <c r="M921" s="81"/>
      <c r="N921" s="81"/>
      <c r="O921" s="90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  <c r="AE921" s="95"/>
      <c r="AF921" s="95"/>
      <c r="AG921" s="95"/>
      <c r="AH921" s="95"/>
      <c r="AI921" s="95"/>
      <c r="AJ921" s="95"/>
      <c r="AK921" s="95"/>
      <c r="AL921" s="95"/>
      <c r="AM921" s="81"/>
    </row>
    <row collapsed="false" customFormat="false" customHeight="true" hidden="false" ht="16.2" outlineLevel="0" r="922">
      <c r="A922" s="80"/>
      <c r="B922" s="101"/>
      <c r="C922" s="85"/>
      <c r="D922" s="92"/>
      <c r="E922" s="83" t="s">
        <v>1037</v>
      </c>
      <c r="F922" s="49" t="s">
        <v>1036</v>
      </c>
      <c r="G922" s="85" t="s">
        <v>1057</v>
      </c>
      <c r="H922" s="85" t="n">
        <v>6</v>
      </c>
      <c r="I922" s="85"/>
      <c r="J922" s="85"/>
      <c r="K922" s="93" t="s">
        <v>53</v>
      </c>
      <c r="L922" s="93" t="s">
        <v>53</v>
      </c>
      <c r="M922" s="81" t="n">
        <v>2582</v>
      </c>
      <c r="N922" s="81" t="n">
        <v>2472</v>
      </c>
      <c r="O922" s="90" t="n">
        <v>292</v>
      </c>
      <c r="P922" s="95" t="s">
        <v>1005</v>
      </c>
      <c r="Q922" s="81" t="n">
        <v>235</v>
      </c>
      <c r="R922" s="95" t="s">
        <v>1005</v>
      </c>
      <c r="S922" s="81" t="n">
        <v>176</v>
      </c>
      <c r="T922" s="95" t="s">
        <v>1005</v>
      </c>
      <c r="U922" s="81" t="n">
        <v>226</v>
      </c>
      <c r="V922" s="95" t="s">
        <v>1005</v>
      </c>
      <c r="W922" s="81" t="n">
        <v>156</v>
      </c>
      <c r="X922" s="95" t="s">
        <v>1005</v>
      </c>
      <c r="Y922" s="81" t="n">
        <v>156</v>
      </c>
      <c r="Z922" s="95" t="s">
        <v>1005</v>
      </c>
      <c r="AA922" s="81" t="n">
        <v>120</v>
      </c>
      <c r="AB922" s="95" t="s">
        <v>1005</v>
      </c>
      <c r="AC922" s="81" t="n">
        <v>89</v>
      </c>
      <c r="AD922" s="95" t="s">
        <v>1005</v>
      </c>
      <c r="AE922" s="81" t="n">
        <v>166</v>
      </c>
      <c r="AF922" s="95" t="s">
        <v>1005</v>
      </c>
      <c r="AG922" s="81" t="n">
        <v>190</v>
      </c>
      <c r="AH922" s="95" t="s">
        <v>1005</v>
      </c>
      <c r="AI922" s="81" t="n">
        <v>213</v>
      </c>
      <c r="AJ922" s="95" t="s">
        <v>1005</v>
      </c>
      <c r="AK922" s="81" t="n">
        <v>215</v>
      </c>
      <c r="AL922" s="95" t="s">
        <v>1005</v>
      </c>
      <c r="AM922" s="81" t="n">
        <f aca="false">O922+Q922+S922+U922+W922+Y922+AA922+AC922+AE922+AG922+AI922+AK922</f>
        <v>2234</v>
      </c>
    </row>
    <row collapsed="false" customFormat="false" customHeight="true" hidden="false" ht="16.2" outlineLevel="0" r="923">
      <c r="A923" s="80" t="n">
        <v>475</v>
      </c>
      <c r="B923" s="100" t="s">
        <v>667</v>
      </c>
      <c r="C923" s="82" t="s">
        <v>1033</v>
      </c>
      <c r="D923" s="92" t="s">
        <v>1056</v>
      </c>
      <c r="E923" s="83" t="s">
        <v>1035</v>
      </c>
      <c r="F923" s="49" t="s">
        <v>1036</v>
      </c>
      <c r="G923" s="92"/>
      <c r="H923" s="85"/>
      <c r="I923" s="85"/>
      <c r="J923" s="85"/>
      <c r="K923" s="93"/>
      <c r="L923" s="93"/>
      <c r="M923" s="81"/>
      <c r="N923" s="81"/>
      <c r="O923" s="90"/>
      <c r="P923" s="95"/>
      <c r="Q923" s="81"/>
      <c r="R923" s="95"/>
      <c r="S923" s="81"/>
      <c r="T923" s="95"/>
      <c r="U923" s="81"/>
      <c r="V923" s="95"/>
      <c r="W923" s="81"/>
      <c r="X923" s="95"/>
      <c r="Y923" s="81"/>
      <c r="Z923" s="95"/>
      <c r="AA923" s="81"/>
      <c r="AB923" s="95"/>
      <c r="AC923" s="81"/>
      <c r="AD923" s="95"/>
      <c r="AE923" s="81"/>
      <c r="AF923" s="95"/>
      <c r="AG923" s="81"/>
      <c r="AH923" s="95"/>
      <c r="AI923" s="81"/>
      <c r="AJ923" s="95"/>
      <c r="AK923" s="81"/>
      <c r="AL923" s="95"/>
      <c r="AM923" s="81"/>
    </row>
    <row collapsed="false" customFormat="false" customHeight="true" hidden="false" ht="16.2" outlineLevel="0" r="924">
      <c r="A924" s="80"/>
      <c r="B924" s="101"/>
      <c r="C924" s="85"/>
      <c r="D924" s="92"/>
      <c r="E924" s="83" t="s">
        <v>1037</v>
      </c>
      <c r="F924" s="49" t="s">
        <v>1036</v>
      </c>
      <c r="G924" s="85" t="s">
        <v>1057</v>
      </c>
      <c r="H924" s="85" t="n">
        <v>8</v>
      </c>
      <c r="I924" s="85"/>
      <c r="J924" s="85"/>
      <c r="K924" s="93" t="s">
        <v>53</v>
      </c>
      <c r="L924" s="93" t="s">
        <v>53</v>
      </c>
      <c r="M924" s="81" t="n">
        <v>2048</v>
      </c>
      <c r="N924" s="81" t="n">
        <v>4257</v>
      </c>
      <c r="O924" s="90" t="n">
        <v>337</v>
      </c>
      <c r="P924" s="95" t="s">
        <v>1005</v>
      </c>
      <c r="Q924" s="81" t="n">
        <v>407</v>
      </c>
      <c r="R924" s="95" t="s">
        <v>1005</v>
      </c>
      <c r="S924" s="81" t="n">
        <v>285</v>
      </c>
      <c r="T924" s="95" t="s">
        <v>1005</v>
      </c>
      <c r="U924" s="81" t="n">
        <v>315</v>
      </c>
      <c r="V924" s="95" t="s">
        <v>1005</v>
      </c>
      <c r="W924" s="81" t="n">
        <v>236</v>
      </c>
      <c r="X924" s="95" t="s">
        <v>1005</v>
      </c>
      <c r="Y924" s="81" t="n">
        <v>206</v>
      </c>
      <c r="Z924" s="95" t="s">
        <v>1005</v>
      </c>
      <c r="AA924" s="81" t="n">
        <v>327</v>
      </c>
      <c r="AB924" s="95" t="s">
        <v>1005</v>
      </c>
      <c r="AC924" s="81" t="n">
        <v>244</v>
      </c>
      <c r="AD924" s="95" t="s">
        <v>1005</v>
      </c>
      <c r="AE924" s="81" t="n">
        <v>243</v>
      </c>
      <c r="AF924" s="95" t="s">
        <v>1005</v>
      </c>
      <c r="AG924" s="81" t="n">
        <v>287</v>
      </c>
      <c r="AH924" s="95" t="s">
        <v>1005</v>
      </c>
      <c r="AI924" s="81" t="n">
        <v>350</v>
      </c>
      <c r="AJ924" s="95" t="s">
        <v>1005</v>
      </c>
      <c r="AK924" s="81" t="n">
        <v>339</v>
      </c>
      <c r="AL924" s="95" t="s">
        <v>1005</v>
      </c>
      <c r="AM924" s="81" t="n">
        <f aca="false">O924+Q924+S924+U924+W924+Y924+AA924+AC924+AE924+AG924+AI924+AK924</f>
        <v>3576</v>
      </c>
    </row>
    <row collapsed="false" customFormat="false" customHeight="true" hidden="false" ht="16.2" outlineLevel="0" r="925">
      <c r="A925" s="80" t="n">
        <v>476</v>
      </c>
      <c r="B925" s="100" t="s">
        <v>668</v>
      </c>
      <c r="C925" s="82" t="s">
        <v>1033</v>
      </c>
      <c r="D925" s="92" t="s">
        <v>1056</v>
      </c>
      <c r="E925" s="83" t="s">
        <v>1035</v>
      </c>
      <c r="F925" s="49" t="s">
        <v>1036</v>
      </c>
      <c r="G925" s="92"/>
      <c r="H925" s="85"/>
      <c r="I925" s="85"/>
      <c r="J925" s="85"/>
      <c r="K925" s="93"/>
      <c r="L925" s="93"/>
      <c r="M925" s="81"/>
      <c r="N925" s="81"/>
      <c r="O925" s="90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  <c r="AE925" s="95"/>
      <c r="AF925" s="95"/>
      <c r="AG925" s="95"/>
      <c r="AH925" s="95"/>
      <c r="AI925" s="95"/>
      <c r="AJ925" s="95"/>
      <c r="AK925" s="95"/>
      <c r="AL925" s="95"/>
      <c r="AM925" s="81"/>
    </row>
    <row collapsed="false" customFormat="false" customHeight="true" hidden="false" ht="16.2" outlineLevel="0" r="926">
      <c r="A926" s="80"/>
      <c r="B926" s="101"/>
      <c r="C926" s="85"/>
      <c r="D926" s="92"/>
      <c r="E926" s="83" t="s">
        <v>1037</v>
      </c>
      <c r="F926" s="49" t="s">
        <v>1036</v>
      </c>
      <c r="G926" s="85" t="s">
        <v>1057</v>
      </c>
      <c r="H926" s="85" t="n">
        <v>12</v>
      </c>
      <c r="I926" s="85"/>
      <c r="J926" s="85"/>
      <c r="K926" s="93" t="s">
        <v>53</v>
      </c>
      <c r="L926" s="93" t="s">
        <v>53</v>
      </c>
      <c r="M926" s="81" t="n">
        <v>2609</v>
      </c>
      <c r="N926" s="81" t="n">
        <v>2283</v>
      </c>
      <c r="O926" s="90" t="n">
        <v>165</v>
      </c>
      <c r="P926" s="95" t="s">
        <v>1005</v>
      </c>
      <c r="Q926" s="81" t="n">
        <v>231</v>
      </c>
      <c r="R926" s="95" t="s">
        <v>1005</v>
      </c>
      <c r="S926" s="81" t="n">
        <v>174</v>
      </c>
      <c r="T926" s="95" t="s">
        <v>1005</v>
      </c>
      <c r="U926" s="81" t="n">
        <v>66</v>
      </c>
      <c r="V926" s="95" t="s">
        <v>1005</v>
      </c>
      <c r="W926" s="81" t="n">
        <v>73</v>
      </c>
      <c r="X926" s="95" t="s">
        <v>1005</v>
      </c>
      <c r="Y926" s="81" t="n">
        <v>70</v>
      </c>
      <c r="Z926" s="95" t="s">
        <v>1005</v>
      </c>
      <c r="AA926" s="81" t="n">
        <v>105</v>
      </c>
      <c r="AB926" s="95" t="s">
        <v>1005</v>
      </c>
      <c r="AC926" s="81" t="n">
        <v>101</v>
      </c>
      <c r="AD926" s="95" t="s">
        <v>1005</v>
      </c>
      <c r="AE926" s="81" t="n">
        <v>109</v>
      </c>
      <c r="AF926" s="95" t="s">
        <v>1005</v>
      </c>
      <c r="AG926" s="81" t="n">
        <v>121</v>
      </c>
      <c r="AH926" s="95" t="s">
        <v>1005</v>
      </c>
      <c r="AI926" s="81" t="n">
        <v>120</v>
      </c>
      <c r="AJ926" s="95" t="s">
        <v>1005</v>
      </c>
      <c r="AK926" s="81" t="n">
        <v>124</v>
      </c>
      <c r="AL926" s="95" t="s">
        <v>1005</v>
      </c>
      <c r="AM926" s="81" t="n">
        <f aca="false">O926+Q926+S926+U926+W926+Y926+AA926+AC926+AE926+AG926+AI926+AK926</f>
        <v>1459</v>
      </c>
    </row>
    <row collapsed="false" customFormat="false" customHeight="true" hidden="false" ht="16.2" outlineLevel="0" r="927">
      <c r="A927" s="80" t="n">
        <v>477</v>
      </c>
      <c r="B927" s="100" t="s">
        <v>669</v>
      </c>
      <c r="C927" s="82" t="s">
        <v>1033</v>
      </c>
      <c r="D927" s="92" t="s">
        <v>1056</v>
      </c>
      <c r="E927" s="83" t="s">
        <v>1035</v>
      </c>
      <c r="F927" s="49" t="s">
        <v>1036</v>
      </c>
      <c r="G927" s="92"/>
      <c r="H927" s="85"/>
      <c r="I927" s="85"/>
      <c r="J927" s="85"/>
      <c r="K927" s="93"/>
      <c r="L927" s="93"/>
      <c r="M927" s="81"/>
      <c r="N927" s="81"/>
      <c r="O927" s="90"/>
      <c r="P927" s="95"/>
      <c r="Q927" s="81"/>
      <c r="R927" s="95"/>
      <c r="S927" s="81"/>
      <c r="T927" s="95"/>
      <c r="U927" s="81"/>
      <c r="V927" s="95"/>
      <c r="W927" s="81"/>
      <c r="X927" s="95"/>
      <c r="Y927" s="81"/>
      <c r="Z927" s="95"/>
      <c r="AA927" s="81"/>
      <c r="AB927" s="95"/>
      <c r="AC927" s="81"/>
      <c r="AD927" s="95"/>
      <c r="AE927" s="81"/>
      <c r="AF927" s="95"/>
      <c r="AG927" s="81"/>
      <c r="AH927" s="95"/>
      <c r="AI927" s="81"/>
      <c r="AJ927" s="95"/>
      <c r="AK927" s="81"/>
      <c r="AL927" s="95"/>
      <c r="AM927" s="81"/>
    </row>
    <row collapsed="false" customFormat="false" customHeight="true" hidden="false" ht="16.2" outlineLevel="0" r="928">
      <c r="A928" s="80"/>
      <c r="B928" s="101"/>
      <c r="C928" s="85"/>
      <c r="D928" s="92"/>
      <c r="E928" s="83" t="s">
        <v>1037</v>
      </c>
      <c r="F928" s="49" t="s">
        <v>1036</v>
      </c>
      <c r="G928" s="85" t="s">
        <v>1057</v>
      </c>
      <c r="H928" s="85" t="n">
        <v>8</v>
      </c>
      <c r="I928" s="85"/>
      <c r="J928" s="85"/>
      <c r="K928" s="93" t="s">
        <v>53</v>
      </c>
      <c r="L928" s="93" t="s">
        <v>53</v>
      </c>
      <c r="M928" s="81" t="n">
        <v>8053</v>
      </c>
      <c r="N928" s="81" t="n">
        <v>9231</v>
      </c>
      <c r="O928" s="90" t="n">
        <v>1085</v>
      </c>
      <c r="P928" s="95" t="s">
        <v>1005</v>
      </c>
      <c r="Q928" s="81" t="n">
        <v>1214</v>
      </c>
      <c r="R928" s="95" t="s">
        <v>1005</v>
      </c>
      <c r="S928" s="81" t="n">
        <v>666</v>
      </c>
      <c r="T928" s="95" t="s">
        <v>1005</v>
      </c>
      <c r="U928" s="81" t="n">
        <v>711</v>
      </c>
      <c r="V928" s="95" t="s">
        <v>1005</v>
      </c>
      <c r="W928" s="81" t="n">
        <v>514</v>
      </c>
      <c r="X928" s="95" t="s">
        <v>1005</v>
      </c>
      <c r="Y928" s="81" t="n">
        <v>419</v>
      </c>
      <c r="Z928" s="95" t="s">
        <v>1005</v>
      </c>
      <c r="AA928" s="81" t="n">
        <v>514</v>
      </c>
      <c r="AB928" s="95" t="s">
        <v>1005</v>
      </c>
      <c r="AC928" s="81" t="n">
        <v>513</v>
      </c>
      <c r="AD928" s="95" t="s">
        <v>1005</v>
      </c>
      <c r="AE928" s="81" t="n">
        <v>561</v>
      </c>
      <c r="AF928" s="95" t="s">
        <v>1005</v>
      </c>
      <c r="AG928" s="81" t="n">
        <v>611</v>
      </c>
      <c r="AH928" s="95" t="s">
        <v>1005</v>
      </c>
      <c r="AI928" s="81" t="n">
        <v>780</v>
      </c>
      <c r="AJ928" s="95" t="s">
        <v>1005</v>
      </c>
      <c r="AK928" s="81" t="n">
        <v>773</v>
      </c>
      <c r="AL928" s="95" t="s">
        <v>1005</v>
      </c>
      <c r="AM928" s="81" t="n">
        <f aca="false">O928+Q928+S928+U928+W928+Y928+AA928+AC928+AE928+AG928+AI928+AK928</f>
        <v>8361</v>
      </c>
    </row>
    <row collapsed="false" customFormat="false" customHeight="true" hidden="false" ht="16.2" outlineLevel="0" r="929">
      <c r="A929" s="80" t="n">
        <v>478</v>
      </c>
      <c r="B929" s="100" t="s">
        <v>670</v>
      </c>
      <c r="C929" s="82" t="s">
        <v>1033</v>
      </c>
      <c r="D929" s="92" t="s">
        <v>1056</v>
      </c>
      <c r="E929" s="83" t="s">
        <v>1035</v>
      </c>
      <c r="F929" s="49" t="s">
        <v>1036</v>
      </c>
      <c r="G929" s="92"/>
      <c r="H929" s="85"/>
      <c r="I929" s="85"/>
      <c r="J929" s="85"/>
      <c r="K929" s="93" t="s">
        <v>53</v>
      </c>
      <c r="L929" s="93" t="s">
        <v>53</v>
      </c>
      <c r="M929" s="81" t="n">
        <v>15023</v>
      </c>
      <c r="N929" s="81" t="n">
        <v>14892</v>
      </c>
      <c r="O929" s="90" t="n">
        <v>1557</v>
      </c>
      <c r="P929" s="95" t="s">
        <v>1005</v>
      </c>
      <c r="Q929" s="95" t="n">
        <v>1920</v>
      </c>
      <c r="R929" s="95" t="s">
        <v>1005</v>
      </c>
      <c r="S929" s="95" t="n">
        <v>1191</v>
      </c>
      <c r="T929" s="95" t="s">
        <v>1005</v>
      </c>
      <c r="U929" s="95" t="n">
        <v>1128</v>
      </c>
      <c r="V929" s="95" t="s">
        <v>1005</v>
      </c>
      <c r="W929" s="95" t="n">
        <v>962</v>
      </c>
      <c r="X929" s="95" t="s">
        <v>1005</v>
      </c>
      <c r="Y929" s="95" t="n">
        <v>858</v>
      </c>
      <c r="Z929" s="95" t="s">
        <v>1005</v>
      </c>
      <c r="AA929" s="95" t="n">
        <v>905</v>
      </c>
      <c r="AB929" s="95" t="s">
        <v>1005</v>
      </c>
      <c r="AC929" s="95" t="n">
        <v>851</v>
      </c>
      <c r="AD929" s="95" t="s">
        <v>1005</v>
      </c>
      <c r="AE929" s="95" t="n">
        <v>1315</v>
      </c>
      <c r="AF929" s="95" t="s">
        <v>1005</v>
      </c>
      <c r="AG929" s="95" t="n">
        <v>1297</v>
      </c>
      <c r="AH929" s="95" t="s">
        <v>1005</v>
      </c>
      <c r="AI929" s="95" t="n">
        <v>1548</v>
      </c>
      <c r="AJ929" s="95" t="s">
        <v>1005</v>
      </c>
      <c r="AK929" s="95" t="n">
        <v>1538</v>
      </c>
      <c r="AL929" s="95" t="s">
        <v>1005</v>
      </c>
      <c r="AM929" s="81" t="n">
        <f aca="false">O929+Q929+S929+U929+W929+Y929+AA929+AC929+AE929+AG929+AI929+AK929</f>
        <v>15070</v>
      </c>
    </row>
    <row collapsed="false" customFormat="false" customHeight="true" hidden="false" ht="16.2" outlineLevel="0" r="930">
      <c r="A930" s="80"/>
      <c r="B930" s="101"/>
      <c r="C930" s="85"/>
      <c r="D930" s="92"/>
      <c r="E930" s="83" t="s">
        <v>1037</v>
      </c>
      <c r="F930" s="49" t="s">
        <v>1036</v>
      </c>
      <c r="G930" s="85" t="s">
        <v>1057</v>
      </c>
      <c r="H930" s="85" t="n">
        <v>30</v>
      </c>
      <c r="I930" s="85"/>
      <c r="J930" s="85"/>
      <c r="K930" s="93" t="s">
        <v>53</v>
      </c>
      <c r="L930" s="93" t="s">
        <v>53</v>
      </c>
      <c r="M930" s="81" t="n">
        <v>1681</v>
      </c>
      <c r="N930" s="81" t="n">
        <v>1218</v>
      </c>
      <c r="O930" s="90" t="n">
        <v>59</v>
      </c>
      <c r="P930" s="95" t="s">
        <v>1005</v>
      </c>
      <c r="Q930" s="81" t="n">
        <v>68</v>
      </c>
      <c r="R930" s="95" t="s">
        <v>1005</v>
      </c>
      <c r="S930" s="81" t="n">
        <v>92</v>
      </c>
      <c r="T930" s="95" t="s">
        <v>1005</v>
      </c>
      <c r="U930" s="81" t="n">
        <v>63</v>
      </c>
      <c r="V930" s="95" t="s">
        <v>1005</v>
      </c>
      <c r="W930" s="81" t="n">
        <v>126</v>
      </c>
      <c r="X930" s="95" t="s">
        <v>1005</v>
      </c>
      <c r="Y930" s="81" t="n">
        <v>32</v>
      </c>
      <c r="Z930" s="95" t="s">
        <v>1005</v>
      </c>
      <c r="AA930" s="81" t="n">
        <v>41</v>
      </c>
      <c r="AB930" s="95" t="s">
        <v>1005</v>
      </c>
      <c r="AC930" s="81" t="n">
        <v>82</v>
      </c>
      <c r="AD930" s="95" t="s">
        <v>1005</v>
      </c>
      <c r="AE930" s="81" t="n">
        <v>45</v>
      </c>
      <c r="AF930" s="95" t="s">
        <v>1005</v>
      </c>
      <c r="AG930" s="81" t="n">
        <v>79</v>
      </c>
      <c r="AH930" s="95" t="s">
        <v>1005</v>
      </c>
      <c r="AI930" s="81" t="n">
        <v>49</v>
      </c>
      <c r="AJ930" s="95" t="s">
        <v>1005</v>
      </c>
      <c r="AK930" s="81" t="n">
        <v>44</v>
      </c>
      <c r="AL930" s="95" t="s">
        <v>1005</v>
      </c>
      <c r="AM930" s="81" t="n">
        <f aca="false">O930+Q930+S930+U930+W930+Y930+AA930+AC930+AE930+AG930+AI930+AK930</f>
        <v>780</v>
      </c>
    </row>
    <row collapsed="false" customFormat="false" customHeight="true" hidden="false" ht="16.2" outlineLevel="0" r="931">
      <c r="A931" s="80" t="n">
        <v>479</v>
      </c>
      <c r="B931" s="100" t="s">
        <v>671</v>
      </c>
      <c r="C931" s="82" t="s">
        <v>1033</v>
      </c>
      <c r="D931" s="92" t="s">
        <v>1056</v>
      </c>
      <c r="E931" s="83" t="s">
        <v>1035</v>
      </c>
      <c r="F931" s="49" t="s">
        <v>1036</v>
      </c>
      <c r="G931" s="92"/>
      <c r="H931" s="85"/>
      <c r="I931" s="85"/>
      <c r="J931" s="85"/>
      <c r="K931" s="93"/>
      <c r="L931" s="93"/>
      <c r="M931" s="81"/>
      <c r="N931" s="81"/>
      <c r="O931" s="90"/>
      <c r="P931" s="95"/>
      <c r="Q931" s="81"/>
      <c r="R931" s="95"/>
      <c r="S931" s="81"/>
      <c r="T931" s="95"/>
      <c r="U931" s="81"/>
      <c r="V931" s="95"/>
      <c r="W931" s="81"/>
      <c r="X931" s="95"/>
      <c r="Y931" s="81"/>
      <c r="Z931" s="95"/>
      <c r="AA931" s="81"/>
      <c r="AB931" s="95"/>
      <c r="AC931" s="81"/>
      <c r="AD931" s="95"/>
      <c r="AE931" s="81"/>
      <c r="AF931" s="95"/>
      <c r="AG931" s="81"/>
      <c r="AH931" s="95"/>
      <c r="AI931" s="81"/>
      <c r="AJ931" s="95"/>
      <c r="AK931" s="81"/>
      <c r="AL931" s="95"/>
      <c r="AM931" s="81"/>
    </row>
    <row collapsed="false" customFormat="false" customHeight="true" hidden="false" ht="16.2" outlineLevel="0" r="932">
      <c r="A932" s="80"/>
      <c r="B932" s="101"/>
      <c r="C932" s="85"/>
      <c r="D932" s="92"/>
      <c r="E932" s="83" t="s">
        <v>1037</v>
      </c>
      <c r="F932" s="49" t="s">
        <v>1036</v>
      </c>
      <c r="G932" s="85" t="s">
        <v>1057</v>
      </c>
      <c r="H932" s="85" t="n">
        <v>38</v>
      </c>
      <c r="I932" s="85"/>
      <c r="J932" s="85"/>
      <c r="K932" s="93" t="s">
        <v>53</v>
      </c>
      <c r="L932" s="93" t="s">
        <v>53</v>
      </c>
      <c r="M932" s="81" t="n">
        <v>15998</v>
      </c>
      <c r="N932" s="81" t="n">
        <v>12332</v>
      </c>
      <c r="O932" s="90" t="n">
        <v>1141</v>
      </c>
      <c r="P932" s="95" t="s">
        <v>1005</v>
      </c>
      <c r="Q932" s="81" t="n">
        <v>1127</v>
      </c>
      <c r="R932" s="95" t="s">
        <v>1005</v>
      </c>
      <c r="S932" s="81" t="n">
        <v>719</v>
      </c>
      <c r="T932" s="95" t="s">
        <v>1005</v>
      </c>
      <c r="U932" s="81" t="n">
        <v>925</v>
      </c>
      <c r="V932" s="95" t="s">
        <v>1005</v>
      </c>
      <c r="W932" s="81" t="n">
        <v>855</v>
      </c>
      <c r="X932" s="95" t="s">
        <v>1005</v>
      </c>
      <c r="Y932" s="81" t="n">
        <v>643</v>
      </c>
      <c r="Z932" s="95" t="s">
        <v>1005</v>
      </c>
      <c r="AA932" s="81" t="n">
        <v>459</v>
      </c>
      <c r="AB932" s="95" t="s">
        <v>1005</v>
      </c>
      <c r="AC932" s="81" t="n">
        <v>568</v>
      </c>
      <c r="AD932" s="95" t="s">
        <v>1005</v>
      </c>
      <c r="AE932" s="81" t="n">
        <v>800</v>
      </c>
      <c r="AF932" s="95" t="s">
        <v>1005</v>
      </c>
      <c r="AG932" s="81" t="n">
        <v>856</v>
      </c>
      <c r="AH932" s="95" t="s">
        <v>1005</v>
      </c>
      <c r="AI932" s="81" t="n">
        <v>1123</v>
      </c>
      <c r="AJ932" s="95" t="s">
        <v>1005</v>
      </c>
      <c r="AK932" s="81" t="n">
        <v>1115</v>
      </c>
      <c r="AL932" s="95" t="s">
        <v>1005</v>
      </c>
      <c r="AM932" s="81" t="n">
        <f aca="false">O932+Q932+S932+U932+W932+Y932+AA932+AC932+AE932+AG932+AI932+AK932</f>
        <v>10331</v>
      </c>
    </row>
    <row collapsed="false" customFormat="false" customHeight="true" hidden="false" ht="16.2" outlineLevel="0" r="933">
      <c r="A933" s="80" t="n">
        <v>480</v>
      </c>
      <c r="B933" s="100" t="s">
        <v>672</v>
      </c>
      <c r="C933" s="82" t="s">
        <v>1033</v>
      </c>
      <c r="D933" s="92" t="s">
        <v>1056</v>
      </c>
      <c r="E933" s="83" t="s">
        <v>1035</v>
      </c>
      <c r="F933" s="49" t="s">
        <v>1036</v>
      </c>
      <c r="G933" s="92"/>
      <c r="H933" s="85"/>
      <c r="I933" s="85"/>
      <c r="J933" s="85"/>
      <c r="K933" s="93"/>
      <c r="L933" s="93"/>
      <c r="M933" s="81"/>
      <c r="N933" s="81"/>
      <c r="O933" s="90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  <c r="AE933" s="95"/>
      <c r="AF933" s="95"/>
      <c r="AG933" s="95"/>
      <c r="AH933" s="95"/>
      <c r="AI933" s="95"/>
      <c r="AJ933" s="95"/>
      <c r="AK933" s="95"/>
      <c r="AL933" s="95"/>
      <c r="AM933" s="81"/>
    </row>
    <row collapsed="false" customFormat="false" customHeight="true" hidden="false" ht="16.2" outlineLevel="0" r="934">
      <c r="A934" s="80"/>
      <c r="B934" s="101"/>
      <c r="C934" s="85"/>
      <c r="D934" s="92"/>
      <c r="E934" s="83" t="s">
        <v>1037</v>
      </c>
      <c r="F934" s="49" t="s">
        <v>1036</v>
      </c>
      <c r="G934" s="85" t="s">
        <v>1057</v>
      </c>
      <c r="H934" s="85" t="n">
        <v>30</v>
      </c>
      <c r="I934" s="85"/>
      <c r="J934" s="85"/>
      <c r="K934" s="93" t="s">
        <v>53</v>
      </c>
      <c r="L934" s="93" t="s">
        <v>53</v>
      </c>
      <c r="M934" s="81" t="n">
        <v>7293</v>
      </c>
      <c r="N934" s="81" t="n">
        <v>7933</v>
      </c>
      <c r="O934" s="90" t="n">
        <v>855</v>
      </c>
      <c r="P934" s="95" t="s">
        <v>1005</v>
      </c>
      <c r="Q934" s="81" t="n">
        <v>878</v>
      </c>
      <c r="R934" s="95" t="s">
        <v>1005</v>
      </c>
      <c r="S934" s="81" t="n">
        <v>499</v>
      </c>
      <c r="T934" s="95" t="s">
        <v>1005</v>
      </c>
      <c r="U934" s="81" t="n">
        <v>612</v>
      </c>
      <c r="V934" s="95" t="s">
        <v>1005</v>
      </c>
      <c r="W934" s="81" t="n">
        <v>456</v>
      </c>
      <c r="X934" s="95" t="s">
        <v>1005</v>
      </c>
      <c r="Y934" s="81" t="n">
        <v>400</v>
      </c>
      <c r="Z934" s="95" t="s">
        <v>1005</v>
      </c>
      <c r="AA934" s="81" t="n">
        <v>386</v>
      </c>
      <c r="AB934" s="95" t="s">
        <v>1005</v>
      </c>
      <c r="AC934" s="81" t="n">
        <v>373</v>
      </c>
      <c r="AD934" s="95" t="s">
        <v>1005</v>
      </c>
      <c r="AE934" s="81" t="n">
        <v>593</v>
      </c>
      <c r="AF934" s="95" t="s">
        <v>1005</v>
      </c>
      <c r="AG934" s="81" t="n">
        <v>591</v>
      </c>
      <c r="AH934" s="95" t="s">
        <v>1005</v>
      </c>
      <c r="AI934" s="81" t="n">
        <v>793</v>
      </c>
      <c r="AJ934" s="95" t="s">
        <v>1005</v>
      </c>
      <c r="AK934" s="81" t="n">
        <v>785</v>
      </c>
      <c r="AL934" s="95" t="s">
        <v>1005</v>
      </c>
      <c r="AM934" s="81" t="n">
        <f aca="false">O934+Q934+S934+U934+W934+Y934+AA934+AC934+AE934+AG934+AI934+AK934</f>
        <v>7221</v>
      </c>
    </row>
    <row collapsed="false" customFormat="false" customHeight="true" hidden="false" ht="16.2" outlineLevel="0" r="935">
      <c r="A935" s="80" t="n">
        <v>481</v>
      </c>
      <c r="B935" s="100" t="s">
        <v>673</v>
      </c>
      <c r="C935" s="82" t="s">
        <v>1033</v>
      </c>
      <c r="D935" s="92" t="s">
        <v>1056</v>
      </c>
      <c r="E935" s="83" t="s">
        <v>1035</v>
      </c>
      <c r="F935" s="49" t="s">
        <v>1036</v>
      </c>
      <c r="G935" s="92"/>
      <c r="H935" s="85"/>
      <c r="I935" s="85"/>
      <c r="J935" s="85"/>
      <c r="K935" s="93"/>
      <c r="L935" s="93"/>
      <c r="M935" s="81"/>
      <c r="N935" s="81"/>
      <c r="O935" s="90"/>
      <c r="P935" s="95"/>
      <c r="Q935" s="81"/>
      <c r="R935" s="95"/>
      <c r="S935" s="81"/>
      <c r="T935" s="95"/>
      <c r="U935" s="81"/>
      <c r="V935" s="95"/>
      <c r="W935" s="81"/>
      <c r="X935" s="95"/>
      <c r="Y935" s="81"/>
      <c r="Z935" s="95"/>
      <c r="AA935" s="81"/>
      <c r="AB935" s="95"/>
      <c r="AC935" s="81"/>
      <c r="AD935" s="95"/>
      <c r="AE935" s="81"/>
      <c r="AF935" s="95"/>
      <c r="AG935" s="81"/>
      <c r="AH935" s="95"/>
      <c r="AI935" s="81"/>
      <c r="AJ935" s="95"/>
      <c r="AK935" s="81"/>
      <c r="AL935" s="95"/>
      <c r="AM935" s="81"/>
    </row>
    <row collapsed="false" customFormat="false" customHeight="true" hidden="false" ht="16.2" outlineLevel="0" r="936">
      <c r="A936" s="80"/>
      <c r="B936" s="101"/>
      <c r="C936" s="85"/>
      <c r="D936" s="92"/>
      <c r="E936" s="83" t="s">
        <v>1037</v>
      </c>
      <c r="F936" s="49" t="s">
        <v>1036</v>
      </c>
      <c r="G936" s="85" t="s">
        <v>1057</v>
      </c>
      <c r="H936" s="85" t="n">
        <v>30</v>
      </c>
      <c r="I936" s="85"/>
      <c r="J936" s="85"/>
      <c r="K936" s="93" t="s">
        <v>53</v>
      </c>
      <c r="L936" s="93" t="s">
        <v>53</v>
      </c>
      <c r="M936" s="81" t="n">
        <v>1419</v>
      </c>
      <c r="N936" s="81" t="n">
        <v>388</v>
      </c>
      <c r="O936" s="90" t="n">
        <v>47</v>
      </c>
      <c r="P936" s="95" t="s">
        <v>1005</v>
      </c>
      <c r="Q936" s="81" t="n">
        <v>54</v>
      </c>
      <c r="R936" s="95" t="s">
        <v>1005</v>
      </c>
      <c r="S936" s="81" t="n">
        <v>37</v>
      </c>
      <c r="T936" s="95" t="s">
        <v>1005</v>
      </c>
      <c r="U936" s="81" t="n">
        <v>46</v>
      </c>
      <c r="V936" s="95" t="s">
        <v>1005</v>
      </c>
      <c r="W936" s="81" t="n">
        <v>21</v>
      </c>
      <c r="X936" s="95" t="s">
        <v>1005</v>
      </c>
      <c r="Y936" s="81" t="n">
        <v>26</v>
      </c>
      <c r="Z936" s="95" t="s">
        <v>1005</v>
      </c>
      <c r="AA936" s="81" t="n">
        <v>22</v>
      </c>
      <c r="AB936" s="95" t="s">
        <v>1005</v>
      </c>
      <c r="AC936" s="81" t="n">
        <v>23</v>
      </c>
      <c r="AD936" s="95" t="s">
        <v>1005</v>
      </c>
      <c r="AE936" s="81" t="n">
        <v>28</v>
      </c>
      <c r="AF936" s="95" t="s">
        <v>1005</v>
      </c>
      <c r="AG936" s="81" t="n">
        <v>23</v>
      </c>
      <c r="AH936" s="95" t="s">
        <v>1005</v>
      </c>
      <c r="AI936" s="81" t="n">
        <v>125</v>
      </c>
      <c r="AJ936" s="95" t="s">
        <v>1005</v>
      </c>
      <c r="AK936" s="81" t="n">
        <v>121</v>
      </c>
      <c r="AL936" s="95" t="s">
        <v>1005</v>
      </c>
      <c r="AM936" s="81" t="n">
        <f aca="false">O936+Q936+S936+U936+W936+Y936+AA936+AC936+AE936+AG936+AI936+AK936</f>
        <v>573</v>
      </c>
    </row>
    <row collapsed="false" customFormat="false" customHeight="true" hidden="false" ht="16.2" outlineLevel="0" r="937">
      <c r="A937" s="80" t="n">
        <v>482</v>
      </c>
      <c r="B937" s="100" t="s">
        <v>675</v>
      </c>
      <c r="C937" s="82" t="s">
        <v>1033</v>
      </c>
      <c r="D937" s="92" t="s">
        <v>1056</v>
      </c>
      <c r="E937" s="83" t="s">
        <v>1035</v>
      </c>
      <c r="F937" s="49" t="s">
        <v>1036</v>
      </c>
      <c r="G937" s="92"/>
      <c r="H937" s="85"/>
      <c r="I937" s="85"/>
      <c r="J937" s="85"/>
      <c r="K937" s="93"/>
      <c r="L937" s="93"/>
      <c r="M937" s="81"/>
      <c r="N937" s="81"/>
      <c r="O937" s="90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  <c r="AE937" s="95"/>
      <c r="AF937" s="95"/>
      <c r="AG937" s="95"/>
      <c r="AH937" s="95"/>
      <c r="AI937" s="95"/>
      <c r="AJ937" s="95"/>
      <c r="AK937" s="95"/>
      <c r="AL937" s="95"/>
      <c r="AM937" s="81"/>
    </row>
    <row collapsed="false" customFormat="false" customHeight="true" hidden="false" ht="16.2" outlineLevel="0" r="938">
      <c r="A938" s="80"/>
      <c r="B938" s="101"/>
      <c r="C938" s="85"/>
      <c r="D938" s="92"/>
      <c r="E938" s="83" t="s">
        <v>1037</v>
      </c>
      <c r="F938" s="49" t="s">
        <v>1036</v>
      </c>
      <c r="G938" s="85" t="s">
        <v>1057</v>
      </c>
      <c r="H938" s="85" t="n">
        <v>8</v>
      </c>
      <c r="I938" s="85"/>
      <c r="J938" s="85"/>
      <c r="K938" s="93" t="s">
        <v>53</v>
      </c>
      <c r="L938" s="93" t="s">
        <v>53</v>
      </c>
      <c r="M938" s="81" t="n">
        <v>324</v>
      </c>
      <c r="N938" s="81" t="n">
        <v>239</v>
      </c>
      <c r="O938" s="90" t="n">
        <v>20</v>
      </c>
      <c r="P938" s="95" t="s">
        <v>1005</v>
      </c>
      <c r="Q938" s="81" t="n">
        <v>24</v>
      </c>
      <c r="R938" s="95" t="s">
        <v>1005</v>
      </c>
      <c r="S938" s="81" t="n">
        <v>25</v>
      </c>
      <c r="T938" s="95" t="s">
        <v>1005</v>
      </c>
      <c r="U938" s="81" t="n">
        <v>21</v>
      </c>
      <c r="V938" s="95" t="s">
        <v>1005</v>
      </c>
      <c r="W938" s="81" t="n">
        <v>16</v>
      </c>
      <c r="X938" s="95" t="s">
        <v>1005</v>
      </c>
      <c r="Y938" s="81" t="n">
        <v>12</v>
      </c>
      <c r="Z938" s="95" t="s">
        <v>1005</v>
      </c>
      <c r="AA938" s="81" t="n">
        <v>19</v>
      </c>
      <c r="AB938" s="95" t="s">
        <v>1005</v>
      </c>
      <c r="AC938" s="81" t="n">
        <v>18</v>
      </c>
      <c r="AD938" s="95" t="s">
        <v>1005</v>
      </c>
      <c r="AE938" s="81" t="n">
        <v>22</v>
      </c>
      <c r="AF938" s="95" t="s">
        <v>1005</v>
      </c>
      <c r="AG938" s="81" t="n">
        <v>21</v>
      </c>
      <c r="AH938" s="95" t="s">
        <v>1005</v>
      </c>
      <c r="AI938" s="81" t="n">
        <v>23</v>
      </c>
      <c r="AJ938" s="95" t="s">
        <v>1005</v>
      </c>
      <c r="AK938" s="81" t="n">
        <v>20</v>
      </c>
      <c r="AL938" s="95" t="s">
        <v>1005</v>
      </c>
      <c r="AM938" s="81" t="n">
        <f aca="false">O938+Q938+S938+U938+W938+Y938+AA938+AC938+AE938+AG938+AI938+AK938</f>
        <v>241</v>
      </c>
    </row>
    <row collapsed="false" customFormat="false" customHeight="true" hidden="false" ht="16.2" outlineLevel="0" r="939">
      <c r="A939" s="80" t="n">
        <v>483</v>
      </c>
      <c r="B939" s="81" t="s">
        <v>677</v>
      </c>
      <c r="C939" s="82" t="s">
        <v>1033</v>
      </c>
      <c r="D939" s="82" t="s">
        <v>1034</v>
      </c>
      <c r="E939" s="83" t="s">
        <v>1035</v>
      </c>
      <c r="F939" s="84" t="s">
        <v>1036</v>
      </c>
      <c r="G939" s="85"/>
      <c r="H939" s="85"/>
      <c r="I939" s="85"/>
      <c r="J939" s="85"/>
      <c r="K939" s="86" t="s">
        <v>53</v>
      </c>
      <c r="L939" s="86" t="s">
        <v>53</v>
      </c>
      <c r="M939" s="90"/>
      <c r="N939" s="90"/>
      <c r="O939" s="90"/>
      <c r="P939" s="90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  <c r="AB939" s="81"/>
      <c r="AC939" s="81"/>
      <c r="AD939" s="81"/>
      <c r="AE939" s="90"/>
      <c r="AF939" s="81"/>
      <c r="AG939" s="81"/>
      <c r="AH939" s="81"/>
      <c r="AI939" s="81"/>
      <c r="AJ939" s="81"/>
      <c r="AK939" s="81"/>
      <c r="AL939" s="81"/>
      <c r="AM939" s="81" t="n">
        <f aca="false">O939+Q939+S939+U939+W939+Y939+AA939+AC939+AE939+AG939+AI939+AK939</f>
        <v>0</v>
      </c>
    </row>
    <row collapsed="false" customFormat="false" customHeight="true" hidden="false" ht="16.2" outlineLevel="0" r="940">
      <c r="A940" s="80"/>
      <c r="B940" s="89"/>
      <c r="C940" s="85"/>
      <c r="D940" s="85"/>
      <c r="E940" s="83" t="s">
        <v>1037</v>
      </c>
      <c r="F940" s="84" t="s">
        <v>1036</v>
      </c>
      <c r="G940" s="85"/>
      <c r="H940" s="85"/>
      <c r="I940" s="85"/>
      <c r="J940" s="85"/>
      <c r="K940" s="86"/>
      <c r="L940" s="86"/>
      <c r="M940" s="90" t="n">
        <f aca="false">209+293</f>
        <v>502</v>
      </c>
      <c r="N940" s="91" t="n">
        <f aca="false">229+390</f>
        <v>619</v>
      </c>
      <c r="O940" s="90" t="n">
        <v>67</v>
      </c>
      <c r="P940" s="90" t="s">
        <v>1005</v>
      </c>
      <c r="Q940" s="81" t="n">
        <v>72</v>
      </c>
      <c r="R940" s="81"/>
      <c r="S940" s="81" t="n">
        <v>46</v>
      </c>
      <c r="T940" s="81" t="s">
        <v>1005</v>
      </c>
      <c r="U940" s="81" t="n">
        <v>40</v>
      </c>
      <c r="V940" s="81" t="s">
        <v>1005</v>
      </c>
      <c r="W940" s="81" t="n">
        <v>32</v>
      </c>
      <c r="X940" s="81" t="s">
        <v>1005</v>
      </c>
      <c r="Y940" s="81" t="n">
        <v>26</v>
      </c>
      <c r="Z940" s="81" t="s">
        <v>1005</v>
      </c>
      <c r="AA940" s="81" t="n">
        <v>22</v>
      </c>
      <c r="AB940" s="81" t="s">
        <v>1005</v>
      </c>
      <c r="AC940" s="81" t="n">
        <v>48</v>
      </c>
      <c r="AD940" s="81" t="s">
        <v>1005</v>
      </c>
      <c r="AE940" s="90" t="n">
        <v>48</v>
      </c>
      <c r="AF940" s="81" t="s">
        <v>1005</v>
      </c>
      <c r="AG940" s="81" t="n">
        <f aca="false">41+41</f>
        <v>82</v>
      </c>
      <c r="AH940" s="81" t="s">
        <v>1005</v>
      </c>
      <c r="AI940" s="81" t="n">
        <f aca="false">63+51</f>
        <v>114</v>
      </c>
      <c r="AJ940" s="81" t="s">
        <v>1005</v>
      </c>
      <c r="AK940" s="81" t="n">
        <f aca="false">39+28</f>
        <v>67</v>
      </c>
      <c r="AL940" s="81" t="s">
        <v>1005</v>
      </c>
      <c r="AM940" s="81" t="n">
        <f aca="false">O940+Q940+S940+U940+W940+Y940+AA940+AC940+AE940+AG940+AI940+AK940</f>
        <v>664</v>
      </c>
    </row>
    <row collapsed="false" customFormat="false" customHeight="true" hidden="false" ht="16.2" outlineLevel="0" r="941">
      <c r="A941" s="80" t="n">
        <v>484</v>
      </c>
      <c r="B941" s="81" t="s">
        <v>678</v>
      </c>
      <c r="C941" s="82" t="s">
        <v>1033</v>
      </c>
      <c r="D941" s="82" t="s">
        <v>1034</v>
      </c>
      <c r="E941" s="83" t="s">
        <v>1035</v>
      </c>
      <c r="F941" s="84" t="s">
        <v>1036</v>
      </c>
      <c r="G941" s="85"/>
      <c r="H941" s="85"/>
      <c r="I941" s="85"/>
      <c r="J941" s="85"/>
      <c r="K941" s="86" t="s">
        <v>53</v>
      </c>
      <c r="L941" s="86" t="s">
        <v>53</v>
      </c>
      <c r="M941" s="90"/>
      <c r="N941" s="90"/>
      <c r="O941" s="90"/>
      <c r="P941" s="90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  <c r="AB941" s="81"/>
      <c r="AC941" s="81"/>
      <c r="AD941" s="81"/>
      <c r="AE941" s="90"/>
      <c r="AF941" s="81"/>
      <c r="AG941" s="81"/>
      <c r="AH941" s="81"/>
      <c r="AI941" s="81"/>
      <c r="AJ941" s="81"/>
      <c r="AK941" s="81"/>
      <c r="AL941" s="81"/>
      <c r="AM941" s="81" t="n">
        <f aca="false">O941+Q941+S941+U941+W941+Y941+AA941+AC941+AE941+AG941+AI941+AK941</f>
        <v>0</v>
      </c>
    </row>
    <row collapsed="false" customFormat="false" customHeight="true" hidden="false" ht="16.2" outlineLevel="0" r="942">
      <c r="A942" s="80"/>
      <c r="B942" s="89"/>
      <c r="C942" s="85"/>
      <c r="D942" s="85"/>
      <c r="E942" s="83" t="s">
        <v>1037</v>
      </c>
      <c r="F942" s="84" t="s">
        <v>1036</v>
      </c>
      <c r="G942" s="85"/>
      <c r="H942" s="85"/>
      <c r="I942" s="85"/>
      <c r="J942" s="85"/>
      <c r="K942" s="86"/>
      <c r="L942" s="86"/>
      <c r="M942" s="90" t="n">
        <f aca="false">1459+1616</f>
        <v>3075</v>
      </c>
      <c r="N942" s="91" t="n">
        <f aca="false">1373+1441</f>
        <v>2814</v>
      </c>
      <c r="O942" s="90" t="n">
        <v>434</v>
      </c>
      <c r="P942" s="90" t="s">
        <v>1005</v>
      </c>
      <c r="Q942" s="81" t="n">
        <v>336</v>
      </c>
      <c r="R942" s="81"/>
      <c r="S942" s="81" t="n">
        <v>369</v>
      </c>
      <c r="T942" s="81" t="s">
        <v>1005</v>
      </c>
      <c r="U942" s="81" t="n">
        <v>215</v>
      </c>
      <c r="V942" s="81" t="s">
        <v>1005</v>
      </c>
      <c r="W942" s="81" t="n">
        <v>68</v>
      </c>
      <c r="X942" s="81" t="s">
        <v>1005</v>
      </c>
      <c r="Y942" s="81" t="n">
        <v>41</v>
      </c>
      <c r="Z942" s="81" t="s">
        <v>1005</v>
      </c>
      <c r="AA942" s="81" t="n">
        <v>24</v>
      </c>
      <c r="AB942" s="81" t="s">
        <v>1005</v>
      </c>
      <c r="AC942" s="81" t="n">
        <v>238</v>
      </c>
      <c r="AD942" s="81" t="s">
        <v>1005</v>
      </c>
      <c r="AE942" s="90" t="n">
        <v>238</v>
      </c>
      <c r="AF942" s="81" t="s">
        <v>1005</v>
      </c>
      <c r="AG942" s="81" t="n">
        <f aca="false">124+148</f>
        <v>272</v>
      </c>
      <c r="AH942" s="81" t="s">
        <v>1005</v>
      </c>
      <c r="AI942" s="81" t="n">
        <f aca="false">165+150</f>
        <v>315</v>
      </c>
      <c r="AJ942" s="81" t="s">
        <v>1005</v>
      </c>
      <c r="AK942" s="81" t="n">
        <f aca="false">175+164</f>
        <v>339</v>
      </c>
      <c r="AL942" s="81" t="s">
        <v>1005</v>
      </c>
      <c r="AM942" s="81" t="n">
        <f aca="false">O942+Q942+S942+U942+W942+Y942+AA942+AC942+AE942+AG942+AI942+AK942</f>
        <v>2889</v>
      </c>
    </row>
    <row collapsed="false" customFormat="false" customHeight="true" hidden="false" ht="16.2" outlineLevel="0" r="943">
      <c r="A943" s="80" t="n">
        <v>485</v>
      </c>
      <c r="B943" s="81" t="s">
        <v>679</v>
      </c>
      <c r="C943" s="82" t="s">
        <v>1033</v>
      </c>
      <c r="D943" s="82" t="s">
        <v>1034</v>
      </c>
      <c r="E943" s="83" t="s">
        <v>1035</v>
      </c>
      <c r="F943" s="84" t="s">
        <v>1036</v>
      </c>
      <c r="G943" s="85"/>
      <c r="H943" s="85"/>
      <c r="I943" s="85"/>
      <c r="J943" s="85"/>
      <c r="K943" s="86" t="s">
        <v>53</v>
      </c>
      <c r="L943" s="86" t="s">
        <v>53</v>
      </c>
      <c r="M943" s="90"/>
      <c r="N943" s="90"/>
      <c r="O943" s="90"/>
      <c r="P943" s="90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  <c r="AB943" s="81"/>
      <c r="AC943" s="81"/>
      <c r="AD943" s="81"/>
      <c r="AE943" s="90"/>
      <c r="AF943" s="81"/>
      <c r="AG943" s="81"/>
      <c r="AH943" s="81"/>
      <c r="AI943" s="81"/>
      <c r="AJ943" s="81"/>
      <c r="AK943" s="81"/>
      <c r="AL943" s="81"/>
      <c r="AM943" s="81" t="n">
        <f aca="false">O943+Q943+S943+U943+W943+Y943+AA943+AC943+AE943+AG943+AI943+AK943</f>
        <v>0</v>
      </c>
    </row>
    <row collapsed="false" customFormat="false" customHeight="true" hidden="false" ht="16.2" outlineLevel="0" r="944">
      <c r="A944" s="80"/>
      <c r="B944" s="89"/>
      <c r="C944" s="85"/>
      <c r="D944" s="85"/>
      <c r="E944" s="83" t="s">
        <v>1037</v>
      </c>
      <c r="F944" s="84" t="s">
        <v>1036</v>
      </c>
      <c r="G944" s="85"/>
      <c r="H944" s="85"/>
      <c r="I944" s="85"/>
      <c r="J944" s="85"/>
      <c r="K944" s="86"/>
      <c r="L944" s="86"/>
      <c r="M944" s="90" t="n">
        <f aca="false">1168+1675</f>
        <v>2843</v>
      </c>
      <c r="N944" s="91" t="n">
        <f aca="false">1969+1341</f>
        <v>3310</v>
      </c>
      <c r="O944" s="90" t="n">
        <v>390</v>
      </c>
      <c r="P944" s="90" t="s">
        <v>1005</v>
      </c>
      <c r="Q944" s="81" t="n">
        <v>365</v>
      </c>
      <c r="R944" s="81"/>
      <c r="S944" s="81" t="n">
        <v>301</v>
      </c>
      <c r="T944" s="81" t="s">
        <v>1005</v>
      </c>
      <c r="U944" s="81" t="n">
        <v>309</v>
      </c>
      <c r="V944" s="81" t="s">
        <v>1005</v>
      </c>
      <c r="W944" s="81" t="n">
        <v>253</v>
      </c>
      <c r="X944" s="81" t="s">
        <v>1005</v>
      </c>
      <c r="Y944" s="81" t="n">
        <v>158</v>
      </c>
      <c r="Z944" s="81" t="s">
        <v>1005</v>
      </c>
      <c r="AA944" s="81" t="n">
        <v>199</v>
      </c>
      <c r="AB944" s="81" t="s">
        <v>1005</v>
      </c>
      <c r="AC944" s="81" t="n">
        <v>242</v>
      </c>
      <c r="AD944" s="81" t="s">
        <v>1005</v>
      </c>
      <c r="AE944" s="90" t="n">
        <v>242</v>
      </c>
      <c r="AF944" s="81" t="s">
        <v>1005</v>
      </c>
      <c r="AG944" s="81" t="n">
        <f aca="false">149+156</f>
        <v>305</v>
      </c>
      <c r="AH944" s="81" t="s">
        <v>1005</v>
      </c>
      <c r="AI944" s="81" t="n">
        <f aca="false">199+194</f>
        <v>393</v>
      </c>
      <c r="AJ944" s="81" t="s">
        <v>1005</v>
      </c>
      <c r="AK944" s="81" t="n">
        <f aca="false">222+189</f>
        <v>411</v>
      </c>
      <c r="AL944" s="81" t="s">
        <v>1005</v>
      </c>
      <c r="AM944" s="81" t="n">
        <f aca="false">O944+Q944+S944+U944+W944+Y944+AA944+AC944+AE944+AG944+AI944+AK944</f>
        <v>3568</v>
      </c>
    </row>
    <row collapsed="false" customFormat="false" customHeight="true" hidden="false" ht="16.2" outlineLevel="0" r="945">
      <c r="A945" s="80" t="n">
        <v>486</v>
      </c>
      <c r="B945" s="81" t="s">
        <v>680</v>
      </c>
      <c r="C945" s="82" t="s">
        <v>1033</v>
      </c>
      <c r="D945" s="82" t="s">
        <v>1034</v>
      </c>
      <c r="E945" s="83" t="s">
        <v>1035</v>
      </c>
      <c r="F945" s="84" t="s">
        <v>1036</v>
      </c>
      <c r="G945" s="85"/>
      <c r="H945" s="85"/>
      <c r="I945" s="85"/>
      <c r="J945" s="85"/>
      <c r="K945" s="86" t="s">
        <v>53</v>
      </c>
      <c r="L945" s="86" t="s">
        <v>53</v>
      </c>
      <c r="M945" s="90"/>
      <c r="N945" s="90"/>
      <c r="O945" s="90"/>
      <c r="P945" s="90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  <c r="AC945" s="81"/>
      <c r="AD945" s="81"/>
      <c r="AE945" s="90"/>
      <c r="AF945" s="81"/>
      <c r="AG945" s="81"/>
      <c r="AH945" s="81"/>
      <c r="AI945" s="81"/>
      <c r="AJ945" s="81"/>
      <c r="AK945" s="81"/>
      <c r="AL945" s="81"/>
      <c r="AM945" s="81" t="n">
        <f aca="false">O945+Q945+S945+U945+W945+Y945+AA945+AC945+AE945+AG945+AI945+AK945</f>
        <v>0</v>
      </c>
    </row>
    <row collapsed="false" customFormat="false" customHeight="true" hidden="false" ht="16.2" outlineLevel="0" r="946">
      <c r="A946" s="80"/>
      <c r="B946" s="89"/>
      <c r="C946" s="85"/>
      <c r="D946" s="85"/>
      <c r="E946" s="83" t="s">
        <v>1037</v>
      </c>
      <c r="F946" s="84" t="s">
        <v>1036</v>
      </c>
      <c r="G946" s="85"/>
      <c r="H946" s="85"/>
      <c r="I946" s="85"/>
      <c r="J946" s="85"/>
      <c r="K946" s="86"/>
      <c r="L946" s="86"/>
      <c r="M946" s="90" t="n">
        <f aca="false">382+226</f>
        <v>608</v>
      </c>
      <c r="N946" s="91" t="n">
        <f aca="false">366+706</f>
        <v>1072</v>
      </c>
      <c r="O946" s="90" t="n">
        <v>69</v>
      </c>
      <c r="P946" s="90" t="s">
        <v>1005</v>
      </c>
      <c r="Q946" s="81" t="n">
        <v>55</v>
      </c>
      <c r="R946" s="81"/>
      <c r="S946" s="81" t="n">
        <v>95</v>
      </c>
      <c r="T946" s="81" t="s">
        <v>1005</v>
      </c>
      <c r="U946" s="81" t="n">
        <v>97</v>
      </c>
      <c r="V946" s="81" t="s">
        <v>1005</v>
      </c>
      <c r="W946" s="81" t="n">
        <v>59</v>
      </c>
      <c r="X946" s="81" t="s">
        <v>1005</v>
      </c>
      <c r="Y946" s="81" t="n">
        <v>102</v>
      </c>
      <c r="Z946" s="81" t="s">
        <v>1005</v>
      </c>
      <c r="AA946" s="81" t="n">
        <v>55</v>
      </c>
      <c r="AB946" s="81" t="s">
        <v>1005</v>
      </c>
      <c r="AC946" s="81" t="n">
        <v>306</v>
      </c>
      <c r="AD946" s="81" t="s">
        <v>1005</v>
      </c>
      <c r="AE946" s="90" t="n">
        <v>306</v>
      </c>
      <c r="AF946" s="81" t="s">
        <v>1005</v>
      </c>
      <c r="AG946" s="81" t="n">
        <f aca="false">65+57</f>
        <v>122</v>
      </c>
      <c r="AH946" s="81" t="s">
        <v>1005</v>
      </c>
      <c r="AI946" s="81" t="n">
        <f aca="false">87+67</f>
        <v>154</v>
      </c>
      <c r="AJ946" s="81" t="s">
        <v>1005</v>
      </c>
      <c r="AK946" s="81" t="n">
        <f aca="false">78+52</f>
        <v>130</v>
      </c>
      <c r="AL946" s="81" t="s">
        <v>1005</v>
      </c>
      <c r="AM946" s="81" t="n">
        <f aca="false">O946+Q946+S946+U946+W946+Y946+AA946+AC946+AE946+AG946+AI946+AK946</f>
        <v>1550</v>
      </c>
    </row>
    <row collapsed="false" customFormat="false" customHeight="true" hidden="false" ht="16.2" outlineLevel="0" r="947">
      <c r="A947" s="80" t="n">
        <v>487</v>
      </c>
      <c r="B947" s="81" t="s">
        <v>681</v>
      </c>
      <c r="C947" s="82" t="s">
        <v>1033</v>
      </c>
      <c r="D947" s="82" t="s">
        <v>1034</v>
      </c>
      <c r="E947" s="83" t="s">
        <v>1035</v>
      </c>
      <c r="F947" s="84" t="s">
        <v>1036</v>
      </c>
      <c r="G947" s="85"/>
      <c r="H947" s="85"/>
      <c r="I947" s="85"/>
      <c r="J947" s="85"/>
      <c r="K947" s="86" t="s">
        <v>53</v>
      </c>
      <c r="L947" s="86" t="s">
        <v>53</v>
      </c>
      <c r="M947" s="90"/>
      <c r="N947" s="90"/>
      <c r="O947" s="90"/>
      <c r="P947" s="90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  <c r="AB947" s="81"/>
      <c r="AC947" s="81"/>
      <c r="AD947" s="81"/>
      <c r="AE947" s="90"/>
      <c r="AF947" s="81"/>
      <c r="AG947" s="81"/>
      <c r="AH947" s="81"/>
      <c r="AI947" s="81"/>
      <c r="AJ947" s="81"/>
      <c r="AK947" s="81"/>
      <c r="AL947" s="81"/>
      <c r="AM947" s="81" t="n">
        <f aca="false">O947+Q947+S947+U947+W947+Y947+AA947+AC947+AE947+AG947+AI947+AK947</f>
        <v>0</v>
      </c>
    </row>
    <row collapsed="false" customFormat="false" customHeight="true" hidden="false" ht="16.2" outlineLevel="0" r="948">
      <c r="A948" s="80"/>
      <c r="B948" s="89"/>
      <c r="C948" s="85"/>
      <c r="D948" s="85"/>
      <c r="E948" s="83" t="s">
        <v>1037</v>
      </c>
      <c r="F948" s="84" t="s">
        <v>1036</v>
      </c>
      <c r="G948" s="85"/>
      <c r="H948" s="85"/>
      <c r="I948" s="85"/>
      <c r="J948" s="85"/>
      <c r="K948" s="86"/>
      <c r="L948" s="86"/>
      <c r="M948" s="90" t="n">
        <f aca="false">2199+1467</f>
        <v>3666</v>
      </c>
      <c r="N948" s="91" t="n">
        <f aca="false">2413+1406</f>
        <v>3819</v>
      </c>
      <c r="O948" s="90" t="n">
        <v>381</v>
      </c>
      <c r="P948" s="90" t="s">
        <v>1005</v>
      </c>
      <c r="Q948" s="81" t="n">
        <v>390</v>
      </c>
      <c r="R948" s="81"/>
      <c r="S948" s="81" t="n">
        <v>313</v>
      </c>
      <c r="T948" s="81" t="s">
        <v>1005</v>
      </c>
      <c r="U948" s="81" t="n">
        <v>309</v>
      </c>
      <c r="V948" s="81" t="s">
        <v>1005</v>
      </c>
      <c r="W948" s="81" t="n">
        <v>265</v>
      </c>
      <c r="X948" s="81" t="s">
        <v>1005</v>
      </c>
      <c r="Y948" s="81" t="n">
        <v>276</v>
      </c>
      <c r="Z948" s="81" t="s">
        <v>1005</v>
      </c>
      <c r="AA948" s="81" t="n">
        <v>247</v>
      </c>
      <c r="AB948" s="81" t="s">
        <v>1005</v>
      </c>
      <c r="AC948" s="81" t="n">
        <v>306</v>
      </c>
      <c r="AD948" s="81" t="s">
        <v>1005</v>
      </c>
      <c r="AE948" s="90" t="n">
        <v>306</v>
      </c>
      <c r="AF948" s="81" t="s">
        <v>1005</v>
      </c>
      <c r="AG948" s="81" t="n">
        <f aca="false">243+181</f>
        <v>424</v>
      </c>
      <c r="AH948" s="81" t="s">
        <v>1005</v>
      </c>
      <c r="AI948" s="81" t="n">
        <f aca="false">331+188</f>
        <v>519</v>
      </c>
      <c r="AJ948" s="81" t="s">
        <v>1005</v>
      </c>
      <c r="AK948" s="81" t="n">
        <f aca="false">301+161</f>
        <v>462</v>
      </c>
      <c r="AL948" s="81" t="s">
        <v>1005</v>
      </c>
      <c r="AM948" s="81" t="n">
        <f aca="false">O948+Q948+S948+U948+W948+Y948+AA948+AC948+AE948+AG948+AI948+AK948</f>
        <v>4198</v>
      </c>
    </row>
    <row collapsed="false" customFormat="false" customHeight="true" hidden="false" ht="16.2" outlineLevel="0" r="949">
      <c r="A949" s="80" t="n">
        <v>488</v>
      </c>
      <c r="B949" s="81" t="s">
        <v>682</v>
      </c>
      <c r="C949" s="82" t="s">
        <v>1033</v>
      </c>
      <c r="D949" s="82" t="s">
        <v>1034</v>
      </c>
      <c r="E949" s="83" t="s">
        <v>1035</v>
      </c>
      <c r="F949" s="84" t="s">
        <v>1036</v>
      </c>
      <c r="G949" s="85"/>
      <c r="H949" s="85"/>
      <c r="I949" s="85"/>
      <c r="J949" s="85"/>
      <c r="K949" s="86" t="s">
        <v>53</v>
      </c>
      <c r="L949" s="86" t="s">
        <v>53</v>
      </c>
      <c r="M949" s="90"/>
      <c r="N949" s="90"/>
      <c r="O949" s="90"/>
      <c r="P949" s="90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  <c r="AB949" s="81"/>
      <c r="AC949" s="81"/>
      <c r="AD949" s="81"/>
      <c r="AE949" s="90"/>
      <c r="AF949" s="81"/>
      <c r="AG949" s="81"/>
      <c r="AH949" s="81"/>
      <c r="AI949" s="81"/>
      <c r="AJ949" s="81"/>
      <c r="AK949" s="81"/>
      <c r="AL949" s="81"/>
      <c r="AM949" s="81" t="n">
        <f aca="false">O949+Q949+S949+U949+W949+Y949+AA949+AC949+AE949+AG949+AI949+AK949</f>
        <v>0</v>
      </c>
    </row>
    <row collapsed="false" customFormat="false" customHeight="true" hidden="false" ht="16.2" outlineLevel="0" r="950">
      <c r="A950" s="80"/>
      <c r="B950" s="89"/>
      <c r="C950" s="85"/>
      <c r="D950" s="85"/>
      <c r="E950" s="83" t="s">
        <v>1037</v>
      </c>
      <c r="F950" s="84" t="s">
        <v>1036</v>
      </c>
      <c r="G950" s="85"/>
      <c r="H950" s="85"/>
      <c r="I950" s="85"/>
      <c r="J950" s="85"/>
      <c r="K950" s="86"/>
      <c r="L950" s="86"/>
      <c r="M950" s="90" t="n">
        <f aca="false">1810+1381</f>
        <v>3191</v>
      </c>
      <c r="N950" s="91" t="n">
        <f aca="false">1160+1387</f>
        <v>2547</v>
      </c>
      <c r="O950" s="90" t="n">
        <v>269</v>
      </c>
      <c r="P950" s="90" t="s">
        <v>1005</v>
      </c>
      <c r="Q950" s="81" t="n">
        <v>252</v>
      </c>
      <c r="R950" s="81"/>
      <c r="S950" s="81" t="n">
        <v>209</v>
      </c>
      <c r="T950" s="81" t="s">
        <v>1005</v>
      </c>
      <c r="U950" s="81" t="n">
        <v>204</v>
      </c>
      <c r="V950" s="81" t="s">
        <v>1005</v>
      </c>
      <c r="W950" s="81" t="n">
        <v>179</v>
      </c>
      <c r="X950" s="81" t="s">
        <v>1005</v>
      </c>
      <c r="Y950" s="81" t="n">
        <v>152</v>
      </c>
      <c r="Z950" s="81" t="s">
        <v>1005</v>
      </c>
      <c r="AA950" s="81" t="n">
        <v>97</v>
      </c>
      <c r="AB950" s="81" t="s">
        <v>1005</v>
      </c>
      <c r="AC950" s="81" t="n">
        <v>189</v>
      </c>
      <c r="AD950" s="81" t="s">
        <v>1005</v>
      </c>
      <c r="AE950" s="90" t="n">
        <v>189</v>
      </c>
      <c r="AF950" s="81" t="s">
        <v>1005</v>
      </c>
      <c r="AG950" s="81" t="n">
        <f aca="false">92+102</f>
        <v>194</v>
      </c>
      <c r="AH950" s="81" t="s">
        <v>1005</v>
      </c>
      <c r="AI950" s="81" t="n">
        <f aca="false">154+139</f>
        <v>293</v>
      </c>
      <c r="AJ950" s="81" t="s">
        <v>1005</v>
      </c>
      <c r="AK950" s="81" t="n">
        <f aca="false">145+104</f>
        <v>249</v>
      </c>
      <c r="AL950" s="81" t="s">
        <v>1005</v>
      </c>
      <c r="AM950" s="81" t="n">
        <f aca="false">O950+Q950+S950+U950+W950+Y950+AA950+AC950+AE950+AG950+AI950+AK950</f>
        <v>2476</v>
      </c>
    </row>
    <row collapsed="false" customFormat="false" customHeight="true" hidden="false" ht="16.2" outlineLevel="0" r="951">
      <c r="A951" s="80" t="n">
        <v>489</v>
      </c>
      <c r="B951" s="81" t="s">
        <v>683</v>
      </c>
      <c r="C951" s="82" t="s">
        <v>1033</v>
      </c>
      <c r="D951" s="82" t="s">
        <v>1034</v>
      </c>
      <c r="E951" s="83" t="s">
        <v>1035</v>
      </c>
      <c r="F951" s="84" t="s">
        <v>1036</v>
      </c>
      <c r="G951" s="85"/>
      <c r="H951" s="85"/>
      <c r="I951" s="85"/>
      <c r="J951" s="85"/>
      <c r="K951" s="86" t="s">
        <v>53</v>
      </c>
      <c r="L951" s="86" t="s">
        <v>53</v>
      </c>
      <c r="M951" s="90"/>
      <c r="N951" s="90"/>
      <c r="O951" s="90"/>
      <c r="P951" s="90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  <c r="AB951" s="81"/>
      <c r="AC951" s="81"/>
      <c r="AD951" s="81"/>
      <c r="AE951" s="90"/>
      <c r="AF951" s="81"/>
      <c r="AG951" s="81"/>
      <c r="AH951" s="81"/>
      <c r="AI951" s="81"/>
      <c r="AJ951" s="81"/>
      <c r="AK951" s="81"/>
      <c r="AL951" s="81"/>
      <c r="AM951" s="81" t="n">
        <f aca="false">O951+Q951+S951+U951+W951+Y951+AA951+AC951+AE951+AG951+AI951+AK951</f>
        <v>0</v>
      </c>
    </row>
    <row collapsed="false" customFormat="false" customHeight="true" hidden="false" ht="16.2" outlineLevel="0" r="952">
      <c r="A952" s="80"/>
      <c r="B952" s="89"/>
      <c r="C952" s="85"/>
      <c r="D952" s="85"/>
      <c r="E952" s="83" t="s">
        <v>1037</v>
      </c>
      <c r="F952" s="84" t="s">
        <v>1036</v>
      </c>
      <c r="G952" s="85"/>
      <c r="H952" s="85"/>
      <c r="I952" s="85"/>
      <c r="J952" s="85"/>
      <c r="K952" s="86"/>
      <c r="L952" s="86"/>
      <c r="M952" s="90" t="n">
        <f aca="false">493+220</f>
        <v>713</v>
      </c>
      <c r="N952" s="91" t="n">
        <f aca="false">1535+1377</f>
        <v>2912</v>
      </c>
      <c r="O952" s="90" t="n">
        <v>369</v>
      </c>
      <c r="P952" s="90" t="s">
        <v>1005</v>
      </c>
      <c r="Q952" s="81" t="n">
        <v>380</v>
      </c>
      <c r="R952" s="81"/>
      <c r="S952" s="81" t="n">
        <v>340</v>
      </c>
      <c r="T952" s="81" t="s">
        <v>1005</v>
      </c>
      <c r="U952" s="81" t="n">
        <v>310</v>
      </c>
      <c r="V952" s="81" t="s">
        <v>1005</v>
      </c>
      <c r="W952" s="81" t="n">
        <v>129</v>
      </c>
      <c r="X952" s="81" t="s">
        <v>1005</v>
      </c>
      <c r="Y952" s="81" t="n">
        <v>164</v>
      </c>
      <c r="Z952" s="81" t="s">
        <v>1005</v>
      </c>
      <c r="AA952" s="81" t="n">
        <v>19</v>
      </c>
      <c r="AB952" s="81" t="s">
        <v>1005</v>
      </c>
      <c r="AC952" s="81" t="n">
        <v>308</v>
      </c>
      <c r="AD952" s="81" t="s">
        <v>1005</v>
      </c>
      <c r="AE952" s="90" t="n">
        <v>308</v>
      </c>
      <c r="AF952" s="81" t="s">
        <v>1005</v>
      </c>
      <c r="AG952" s="81" t="n">
        <f aca="false">218+145</f>
        <v>363</v>
      </c>
      <c r="AH952" s="81" t="s">
        <v>1005</v>
      </c>
      <c r="AI952" s="81" t="n">
        <f aca="false">220+139</f>
        <v>359</v>
      </c>
      <c r="AJ952" s="81" t="s">
        <v>1005</v>
      </c>
      <c r="AK952" s="81" t="n">
        <f aca="false">246+144</f>
        <v>390</v>
      </c>
      <c r="AL952" s="81" t="s">
        <v>1005</v>
      </c>
      <c r="AM952" s="81" t="n">
        <f aca="false">O952+Q952+S952+U952+W952+Y952+AA952+AC952+AE952+AG952+AI952+AK952</f>
        <v>3439</v>
      </c>
    </row>
    <row collapsed="false" customFormat="false" customHeight="true" hidden="false" ht="16.2" outlineLevel="0" r="953">
      <c r="A953" s="80" t="n">
        <v>490</v>
      </c>
      <c r="B953" s="81" t="s">
        <v>684</v>
      </c>
      <c r="C953" s="82" t="s">
        <v>1033</v>
      </c>
      <c r="D953" s="82" t="s">
        <v>1034</v>
      </c>
      <c r="E953" s="83" t="s">
        <v>1035</v>
      </c>
      <c r="F953" s="84" t="s">
        <v>1036</v>
      </c>
      <c r="G953" s="85"/>
      <c r="H953" s="85"/>
      <c r="I953" s="85"/>
      <c r="J953" s="85"/>
      <c r="K953" s="86" t="s">
        <v>53</v>
      </c>
      <c r="L953" s="86" t="s">
        <v>53</v>
      </c>
      <c r="M953" s="90"/>
      <c r="N953" s="90"/>
      <c r="O953" s="90"/>
      <c r="P953" s="90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  <c r="AB953" s="81"/>
      <c r="AC953" s="81"/>
      <c r="AD953" s="81"/>
      <c r="AE953" s="90"/>
      <c r="AF953" s="81"/>
      <c r="AG953" s="81"/>
      <c r="AH953" s="81"/>
      <c r="AI953" s="81"/>
      <c r="AJ953" s="81"/>
      <c r="AK953" s="81"/>
      <c r="AL953" s="81"/>
      <c r="AM953" s="81" t="n">
        <f aca="false">O953+Q953+S953+U953+W953+Y953+AA953+AC953+AE953+AG953+AI953+AK953</f>
        <v>0</v>
      </c>
    </row>
    <row collapsed="false" customFormat="false" customHeight="true" hidden="false" ht="16.2" outlineLevel="0" r="954">
      <c r="A954" s="80"/>
      <c r="B954" s="89"/>
      <c r="C954" s="85"/>
      <c r="D954" s="85"/>
      <c r="E954" s="83" t="s">
        <v>1037</v>
      </c>
      <c r="F954" s="84" t="s">
        <v>1036</v>
      </c>
      <c r="G954" s="85"/>
      <c r="H954" s="85"/>
      <c r="I954" s="85"/>
      <c r="J954" s="85"/>
      <c r="K954" s="86"/>
      <c r="L954" s="86"/>
      <c r="M954" s="90" t="n">
        <f aca="false">2117+3080</f>
        <v>5197</v>
      </c>
      <c r="N954" s="91" t="n">
        <f aca="false">2187+3191</f>
        <v>5378</v>
      </c>
      <c r="O954" s="90" t="n">
        <v>624</v>
      </c>
      <c r="P954" s="90" t="s">
        <v>1005</v>
      </c>
      <c r="Q954" s="81" t="n">
        <v>590</v>
      </c>
      <c r="R954" s="81"/>
      <c r="S954" s="81" t="n">
        <v>486</v>
      </c>
      <c r="T954" s="81" t="s">
        <v>1005</v>
      </c>
      <c r="U954" s="81" t="n">
        <v>273</v>
      </c>
      <c r="V954" s="81" t="s">
        <v>1005</v>
      </c>
      <c r="W954" s="81" t="n">
        <v>284</v>
      </c>
      <c r="X954" s="81" t="s">
        <v>1005</v>
      </c>
      <c r="Y954" s="81" t="n">
        <v>229</v>
      </c>
      <c r="Z954" s="81" t="s">
        <v>1005</v>
      </c>
      <c r="AA954" s="81" t="n">
        <v>204</v>
      </c>
      <c r="AB954" s="81" t="s">
        <v>1005</v>
      </c>
      <c r="AC954" s="81" t="n">
        <v>362</v>
      </c>
      <c r="AD954" s="81" t="s">
        <v>1005</v>
      </c>
      <c r="AE954" s="90" t="n">
        <v>362</v>
      </c>
      <c r="AF954" s="81" t="s">
        <v>1005</v>
      </c>
      <c r="AG954" s="81" t="n">
        <f aca="false">205+259</f>
        <v>464</v>
      </c>
      <c r="AH954" s="81" t="s">
        <v>1005</v>
      </c>
      <c r="AI954" s="81" t="n">
        <v>0</v>
      </c>
      <c r="AJ954" s="81" t="s">
        <v>1005</v>
      </c>
      <c r="AK954" s="81" t="n">
        <f aca="false">432+276</f>
        <v>708</v>
      </c>
      <c r="AL954" s="81" t="s">
        <v>1005</v>
      </c>
      <c r="AM954" s="81" t="n">
        <f aca="false">O954+Q954+S954+U954+W954+Y954+AA954+AC954+AE954+AG954+AI954+AK954</f>
        <v>4586</v>
      </c>
    </row>
    <row collapsed="false" customFormat="false" customHeight="true" hidden="false" ht="16.2" outlineLevel="0" r="955">
      <c r="A955" s="80" t="n">
        <v>491</v>
      </c>
      <c r="B955" s="81" t="s">
        <v>685</v>
      </c>
      <c r="C955" s="82" t="s">
        <v>1033</v>
      </c>
      <c r="D955" s="82" t="s">
        <v>1034</v>
      </c>
      <c r="E955" s="83" t="s">
        <v>1035</v>
      </c>
      <c r="F955" s="84" t="s">
        <v>1036</v>
      </c>
      <c r="G955" s="85"/>
      <c r="H955" s="85"/>
      <c r="I955" s="85"/>
      <c r="J955" s="85"/>
      <c r="K955" s="86" t="s">
        <v>53</v>
      </c>
      <c r="L955" s="86" t="s">
        <v>53</v>
      </c>
      <c r="M955" s="90"/>
      <c r="N955" s="90"/>
      <c r="O955" s="90"/>
      <c r="P955" s="90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  <c r="AB955" s="81"/>
      <c r="AC955" s="81"/>
      <c r="AD955" s="81"/>
      <c r="AE955" s="90"/>
      <c r="AF955" s="81"/>
      <c r="AG955" s="81"/>
      <c r="AH955" s="81"/>
      <c r="AI955" s="81"/>
      <c r="AJ955" s="81"/>
      <c r="AK955" s="81"/>
      <c r="AL955" s="81"/>
      <c r="AM955" s="81" t="n">
        <f aca="false">O955+Q955+S955+U955+W955+Y955+AA955+AC955+AE955+AG955+AI955+AK955</f>
        <v>0</v>
      </c>
    </row>
    <row collapsed="false" customFormat="false" customHeight="true" hidden="false" ht="16.2" outlineLevel="0" r="956">
      <c r="A956" s="80"/>
      <c r="B956" s="89"/>
      <c r="C956" s="85"/>
      <c r="D956" s="85"/>
      <c r="E956" s="83" t="s">
        <v>1037</v>
      </c>
      <c r="F956" s="84" t="s">
        <v>1036</v>
      </c>
      <c r="G956" s="85"/>
      <c r="H956" s="85"/>
      <c r="I956" s="85"/>
      <c r="J956" s="85"/>
      <c r="K956" s="86"/>
      <c r="L956" s="86"/>
      <c r="M956" s="90" t="n">
        <f aca="false">2066+2376</f>
        <v>4442</v>
      </c>
      <c r="N956" s="91" t="n">
        <f aca="false">3504+3587</f>
        <v>7091</v>
      </c>
      <c r="O956" s="90" t="n">
        <v>743</v>
      </c>
      <c r="P956" s="90" t="s">
        <v>1005</v>
      </c>
      <c r="Q956" s="81" t="n">
        <v>610</v>
      </c>
      <c r="R956" s="81"/>
      <c r="S956" s="81" t="n">
        <v>645</v>
      </c>
      <c r="T956" s="81" t="s">
        <v>1005</v>
      </c>
      <c r="U956" s="81" t="n">
        <v>691</v>
      </c>
      <c r="V956" s="81" t="s">
        <v>1005</v>
      </c>
      <c r="W956" s="81" t="n">
        <v>404</v>
      </c>
      <c r="X956" s="81" t="s">
        <v>1005</v>
      </c>
      <c r="Y956" s="81" t="n">
        <v>396</v>
      </c>
      <c r="Z956" s="81" t="s">
        <v>1005</v>
      </c>
      <c r="AA956" s="81" t="n">
        <v>319</v>
      </c>
      <c r="AB956" s="81" t="s">
        <v>1005</v>
      </c>
      <c r="AC956" s="81" t="n">
        <v>433</v>
      </c>
      <c r="AD956" s="81" t="s">
        <v>1005</v>
      </c>
      <c r="AE956" s="90" t="n">
        <v>433</v>
      </c>
      <c r="AF956" s="81" t="s">
        <v>1005</v>
      </c>
      <c r="AG956" s="81" t="n">
        <f aca="false">318+348</f>
        <v>666</v>
      </c>
      <c r="AH956" s="81" t="s">
        <v>1005</v>
      </c>
      <c r="AI956" s="81" t="n">
        <f aca="false">535+451</f>
        <v>986</v>
      </c>
      <c r="AJ956" s="81" t="s">
        <v>1005</v>
      </c>
      <c r="AK956" s="81" t="n">
        <f aca="false">454+337</f>
        <v>791</v>
      </c>
      <c r="AL956" s="81" t="s">
        <v>1005</v>
      </c>
      <c r="AM956" s="81" t="n">
        <f aca="false">O956+Q956+S956+U956+W956+Y956+AA956+AC956+AE956+AG956+AI956+AK956</f>
        <v>7117</v>
      </c>
    </row>
    <row collapsed="false" customFormat="false" customHeight="true" hidden="false" ht="16.2" outlineLevel="0" r="957">
      <c r="A957" s="80" t="n">
        <v>492</v>
      </c>
      <c r="B957" s="81" t="s">
        <v>687</v>
      </c>
      <c r="C957" s="82" t="s">
        <v>1033</v>
      </c>
      <c r="D957" s="82" t="s">
        <v>1034</v>
      </c>
      <c r="E957" s="83" t="s">
        <v>1035</v>
      </c>
      <c r="F957" s="84" t="s">
        <v>1036</v>
      </c>
      <c r="G957" s="85"/>
      <c r="H957" s="85"/>
      <c r="I957" s="85"/>
      <c r="J957" s="85"/>
      <c r="K957" s="86" t="s">
        <v>53</v>
      </c>
      <c r="L957" s="86" t="s">
        <v>53</v>
      </c>
      <c r="M957" s="90"/>
      <c r="N957" s="90"/>
      <c r="O957" s="90"/>
      <c r="P957" s="90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  <c r="AB957" s="81"/>
      <c r="AC957" s="81"/>
      <c r="AD957" s="81"/>
      <c r="AE957" s="90"/>
      <c r="AF957" s="81"/>
      <c r="AG957" s="81"/>
      <c r="AH957" s="81"/>
      <c r="AI957" s="81"/>
      <c r="AJ957" s="81"/>
      <c r="AK957" s="81"/>
      <c r="AL957" s="81"/>
      <c r="AM957" s="81" t="n">
        <f aca="false">O957+Q957+S957+U957+W957+Y957+AA957+AC957+AE957+AG957+AI957+AK957</f>
        <v>0</v>
      </c>
    </row>
    <row collapsed="false" customFormat="false" customHeight="true" hidden="false" ht="16.2" outlineLevel="0" r="958">
      <c r="A958" s="80"/>
      <c r="B958" s="89"/>
      <c r="C958" s="85"/>
      <c r="D958" s="85"/>
      <c r="E958" s="83" t="s">
        <v>1037</v>
      </c>
      <c r="F958" s="84" t="s">
        <v>1036</v>
      </c>
      <c r="G958" s="85"/>
      <c r="H958" s="85"/>
      <c r="I958" s="85"/>
      <c r="J958" s="85"/>
      <c r="K958" s="86"/>
      <c r="L958" s="86"/>
      <c r="M958" s="90" t="n">
        <f aca="false">1170+1133+19+28</f>
        <v>2350</v>
      </c>
      <c r="N958" s="91" t="n">
        <f aca="false">2261+2782</f>
        <v>5043</v>
      </c>
      <c r="O958" s="90" t="n">
        <v>497</v>
      </c>
      <c r="P958" s="90" t="s">
        <v>1005</v>
      </c>
      <c r="Q958" s="81" t="n">
        <v>432</v>
      </c>
      <c r="R958" s="81"/>
      <c r="S958" s="81" t="n">
        <v>336</v>
      </c>
      <c r="T958" s="81" t="s">
        <v>1005</v>
      </c>
      <c r="U958" s="81" t="n">
        <v>323</v>
      </c>
      <c r="V958" s="81" t="s">
        <v>1005</v>
      </c>
      <c r="W958" s="81" t="n">
        <v>269</v>
      </c>
      <c r="X958" s="81" t="s">
        <v>1005</v>
      </c>
      <c r="Y958" s="81" t="n">
        <v>269</v>
      </c>
      <c r="Z958" s="81" t="s">
        <v>1005</v>
      </c>
      <c r="AA958" s="81" t="n">
        <v>164</v>
      </c>
      <c r="AB958" s="81" t="s">
        <v>1005</v>
      </c>
      <c r="AC958" s="81" t="n">
        <v>239</v>
      </c>
      <c r="AD958" s="81" t="s">
        <v>1005</v>
      </c>
      <c r="AE958" s="90" t="n">
        <v>239</v>
      </c>
      <c r="AF958" s="81" t="s">
        <v>1005</v>
      </c>
      <c r="AG958" s="81" t="n">
        <f aca="false">176+173</f>
        <v>349</v>
      </c>
      <c r="AH958" s="81" t="s">
        <v>1005</v>
      </c>
      <c r="AI958" s="81" t="n">
        <f aca="false">325+253</f>
        <v>578</v>
      </c>
      <c r="AJ958" s="81" t="s">
        <v>1005</v>
      </c>
      <c r="AK958" s="81" t="n">
        <f aca="false">293+212</f>
        <v>505</v>
      </c>
      <c r="AL958" s="81" t="s">
        <v>1005</v>
      </c>
      <c r="AM958" s="81" t="n">
        <f aca="false">O958+Q958+S958+U958+W958+Y958+AA958+AC958+AE958+AG958+AI958+AK958</f>
        <v>4200</v>
      </c>
    </row>
    <row collapsed="false" customFormat="false" customHeight="true" hidden="false" ht="16.2" outlineLevel="0" r="959">
      <c r="A959" s="80" t="n">
        <v>493</v>
      </c>
      <c r="B959" s="81" t="s">
        <v>688</v>
      </c>
      <c r="C959" s="82" t="s">
        <v>1033</v>
      </c>
      <c r="D959" s="82" t="s">
        <v>1034</v>
      </c>
      <c r="E959" s="83" t="s">
        <v>1035</v>
      </c>
      <c r="F959" s="84" t="s">
        <v>1036</v>
      </c>
      <c r="G959" s="85"/>
      <c r="H959" s="85"/>
      <c r="I959" s="85"/>
      <c r="J959" s="85"/>
      <c r="K959" s="86" t="s">
        <v>53</v>
      </c>
      <c r="L959" s="86" t="s">
        <v>53</v>
      </c>
      <c r="M959" s="90"/>
      <c r="N959" s="90"/>
      <c r="O959" s="90"/>
      <c r="P959" s="90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  <c r="AB959" s="81"/>
      <c r="AC959" s="81"/>
      <c r="AD959" s="81"/>
      <c r="AE959" s="90"/>
      <c r="AF959" s="81"/>
      <c r="AG959" s="81"/>
      <c r="AH959" s="81"/>
      <c r="AI959" s="81"/>
      <c r="AJ959" s="81"/>
      <c r="AK959" s="81"/>
      <c r="AL959" s="81"/>
      <c r="AM959" s="81" t="n">
        <f aca="false">O959+Q959+S959+U959+W959+Y959+AA959+AC959+AE959+AG959+AI959+AK959</f>
        <v>0</v>
      </c>
    </row>
    <row collapsed="false" customFormat="false" customHeight="true" hidden="false" ht="16.2" outlineLevel="0" r="960">
      <c r="A960" s="80"/>
      <c r="B960" s="89"/>
      <c r="C960" s="85"/>
      <c r="D960" s="85"/>
      <c r="E960" s="83" t="s">
        <v>1037</v>
      </c>
      <c r="F960" s="84" t="s">
        <v>1036</v>
      </c>
      <c r="G960" s="85"/>
      <c r="H960" s="85"/>
      <c r="I960" s="85"/>
      <c r="J960" s="85"/>
      <c r="K960" s="86"/>
      <c r="L960" s="86"/>
      <c r="M960" s="90" t="n">
        <f aca="false">1767+1651</f>
        <v>3418</v>
      </c>
      <c r="N960" s="91" t="n">
        <f aca="false">4736+4158</f>
        <v>8894</v>
      </c>
      <c r="O960" s="90" t="n">
        <v>991</v>
      </c>
      <c r="P960" s="90" t="s">
        <v>1005</v>
      </c>
      <c r="Q960" s="81" t="n">
        <v>860</v>
      </c>
      <c r="R960" s="81"/>
      <c r="S960" s="81" t="n">
        <v>758</v>
      </c>
      <c r="T960" s="81" t="s">
        <v>1005</v>
      </c>
      <c r="U960" s="81" t="n">
        <v>674</v>
      </c>
      <c r="V960" s="81" t="s">
        <v>1005</v>
      </c>
      <c r="W960" s="81" t="n">
        <v>444</v>
      </c>
      <c r="X960" s="81" t="s">
        <v>1005</v>
      </c>
      <c r="Y960" s="81" t="n">
        <v>417</v>
      </c>
      <c r="Z960" s="81" t="s">
        <v>1005</v>
      </c>
      <c r="AA960" s="81" t="n">
        <v>361</v>
      </c>
      <c r="AB960" s="81" t="s">
        <v>1005</v>
      </c>
      <c r="AC960" s="81" t="n">
        <v>561</v>
      </c>
      <c r="AD960" s="81" t="s">
        <v>1005</v>
      </c>
      <c r="AE960" s="90" t="n">
        <v>561</v>
      </c>
      <c r="AF960" s="81" t="s">
        <v>1005</v>
      </c>
      <c r="AG960" s="81" t="n">
        <f aca="false">338+372</f>
        <v>710</v>
      </c>
      <c r="AH960" s="81" t="s">
        <v>1005</v>
      </c>
      <c r="AI960" s="81" t="n">
        <f aca="false">507+425</f>
        <v>932</v>
      </c>
      <c r="AJ960" s="81" t="s">
        <v>1005</v>
      </c>
      <c r="AK960" s="81" t="n">
        <f aca="false">529+384</f>
        <v>913</v>
      </c>
      <c r="AL960" s="81" t="s">
        <v>1005</v>
      </c>
      <c r="AM960" s="81" t="n">
        <f aca="false">O960+Q960+S960+U960+W960+Y960+AA960+AC960+AE960+AG960+AI960+AK960</f>
        <v>8182</v>
      </c>
    </row>
    <row collapsed="false" customFormat="false" customHeight="true" hidden="false" ht="16.2" outlineLevel="0" r="961">
      <c r="A961" s="80" t="n">
        <v>494</v>
      </c>
      <c r="B961" s="81" t="s">
        <v>689</v>
      </c>
      <c r="C961" s="82" t="s">
        <v>1033</v>
      </c>
      <c r="D961" s="82" t="s">
        <v>1034</v>
      </c>
      <c r="E961" s="83" t="s">
        <v>1035</v>
      </c>
      <c r="F961" s="84" t="s">
        <v>1036</v>
      </c>
      <c r="G961" s="85"/>
      <c r="H961" s="85"/>
      <c r="I961" s="85"/>
      <c r="J961" s="85"/>
      <c r="K961" s="86" t="s">
        <v>53</v>
      </c>
      <c r="L961" s="86" t="s">
        <v>53</v>
      </c>
      <c r="M961" s="90"/>
      <c r="N961" s="90"/>
      <c r="O961" s="90"/>
      <c r="P961" s="90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  <c r="AB961" s="81"/>
      <c r="AC961" s="81"/>
      <c r="AD961" s="81"/>
      <c r="AE961" s="90"/>
      <c r="AF961" s="81"/>
      <c r="AG961" s="81"/>
      <c r="AH961" s="81"/>
      <c r="AI961" s="81"/>
      <c r="AJ961" s="81"/>
      <c r="AK961" s="81"/>
      <c r="AL961" s="81"/>
      <c r="AM961" s="81" t="n">
        <f aca="false">O961+Q961+S961+U961+W961+Y961+AA961+AC961+AE961+AG961+AI961+AK961</f>
        <v>0</v>
      </c>
    </row>
    <row collapsed="false" customFormat="false" customHeight="true" hidden="false" ht="16.2" outlineLevel="0" r="962">
      <c r="A962" s="80"/>
      <c r="B962" s="89"/>
      <c r="C962" s="85"/>
      <c r="D962" s="85"/>
      <c r="E962" s="83" t="s">
        <v>1037</v>
      </c>
      <c r="F962" s="84" t="s">
        <v>1036</v>
      </c>
      <c r="G962" s="85"/>
      <c r="H962" s="85"/>
      <c r="I962" s="85"/>
      <c r="J962" s="85"/>
      <c r="K962" s="86"/>
      <c r="L962" s="86"/>
      <c r="M962" s="90" t="n">
        <f aca="false">3147+717+33</f>
        <v>3897</v>
      </c>
      <c r="N962" s="91" t="n">
        <f aca="false">2186+2626</f>
        <v>4812</v>
      </c>
      <c r="O962" s="90" t="n">
        <v>562</v>
      </c>
      <c r="P962" s="90" t="s">
        <v>1005</v>
      </c>
      <c r="Q962" s="81" t="n">
        <v>535</v>
      </c>
      <c r="R962" s="81"/>
      <c r="S962" s="81" t="n">
        <v>367</v>
      </c>
      <c r="T962" s="81" t="s">
        <v>1005</v>
      </c>
      <c r="U962" s="81" t="n">
        <v>349</v>
      </c>
      <c r="V962" s="81" t="s">
        <v>1005</v>
      </c>
      <c r="W962" s="81" t="n">
        <v>375</v>
      </c>
      <c r="X962" s="81" t="s">
        <v>1005</v>
      </c>
      <c r="Y962" s="81" t="n">
        <v>401</v>
      </c>
      <c r="Z962" s="81" t="s">
        <v>1005</v>
      </c>
      <c r="AA962" s="81" t="n">
        <v>247</v>
      </c>
      <c r="AB962" s="81" t="s">
        <v>1005</v>
      </c>
      <c r="AC962" s="81" t="n">
        <v>262</v>
      </c>
      <c r="AD962" s="81" t="s">
        <v>1005</v>
      </c>
      <c r="AE962" s="90" t="n">
        <v>262</v>
      </c>
      <c r="AF962" s="81" t="s">
        <v>1005</v>
      </c>
      <c r="AG962" s="81" t="n">
        <f aca="false">109+132</f>
        <v>241</v>
      </c>
      <c r="AH962" s="81" t="s">
        <v>1005</v>
      </c>
      <c r="AI962" s="81" t="n">
        <f aca="false">229+194</f>
        <v>423</v>
      </c>
      <c r="AJ962" s="81" t="s">
        <v>1005</v>
      </c>
      <c r="AK962" s="81" t="n">
        <f aca="false">290+208</f>
        <v>498</v>
      </c>
      <c r="AL962" s="81" t="s">
        <v>1005</v>
      </c>
      <c r="AM962" s="81" t="n">
        <f aca="false">O962+Q962+S962+U962+W962+Y962+AA962+AC962+AE962+AG962+AI962+AK962</f>
        <v>4522</v>
      </c>
    </row>
    <row collapsed="false" customFormat="false" customHeight="true" hidden="false" ht="16.2" outlineLevel="0" r="963">
      <c r="A963" s="80" t="n">
        <v>495</v>
      </c>
      <c r="B963" s="81" t="s">
        <v>690</v>
      </c>
      <c r="C963" s="82" t="s">
        <v>1033</v>
      </c>
      <c r="D963" s="82" t="s">
        <v>1034</v>
      </c>
      <c r="E963" s="83" t="s">
        <v>1035</v>
      </c>
      <c r="F963" s="84" t="s">
        <v>1036</v>
      </c>
      <c r="G963" s="85"/>
      <c r="H963" s="85"/>
      <c r="I963" s="85"/>
      <c r="J963" s="85"/>
      <c r="K963" s="86" t="s">
        <v>53</v>
      </c>
      <c r="L963" s="86" t="s">
        <v>53</v>
      </c>
      <c r="M963" s="90"/>
      <c r="N963" s="90"/>
      <c r="O963" s="90"/>
      <c r="P963" s="90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81"/>
      <c r="AB963" s="81"/>
      <c r="AC963" s="81"/>
      <c r="AD963" s="81"/>
      <c r="AE963" s="90"/>
      <c r="AF963" s="81"/>
      <c r="AG963" s="81"/>
      <c r="AH963" s="81"/>
      <c r="AI963" s="81"/>
      <c r="AJ963" s="81"/>
      <c r="AK963" s="81"/>
      <c r="AL963" s="81"/>
      <c r="AM963" s="81" t="n">
        <f aca="false">O963+Q963+S963+U963+W963+Y963+AA963+AC963+AE963+AG963+AI963+AK963</f>
        <v>0</v>
      </c>
    </row>
    <row collapsed="false" customFormat="false" customHeight="true" hidden="false" ht="16.2" outlineLevel="0" r="964">
      <c r="A964" s="80"/>
      <c r="B964" s="89"/>
      <c r="C964" s="85"/>
      <c r="D964" s="85"/>
      <c r="E964" s="83" t="s">
        <v>1037</v>
      </c>
      <c r="F964" s="84" t="s">
        <v>1036</v>
      </c>
      <c r="G964" s="85"/>
      <c r="H964" s="85"/>
      <c r="I964" s="85"/>
      <c r="J964" s="85"/>
      <c r="K964" s="86"/>
      <c r="L964" s="86"/>
      <c r="M964" s="90" t="n">
        <f aca="false">3727+3894+118+213</f>
        <v>7952</v>
      </c>
      <c r="N964" s="91" t="n">
        <f aca="false">4121+4210</f>
        <v>8331</v>
      </c>
      <c r="O964" s="90" t="n">
        <v>1018</v>
      </c>
      <c r="P964" s="90" t="s">
        <v>1005</v>
      </c>
      <c r="Q964" s="81" t="n">
        <v>793</v>
      </c>
      <c r="R964" s="81"/>
      <c r="S964" s="81" t="n">
        <v>598</v>
      </c>
      <c r="T964" s="81" t="s">
        <v>1005</v>
      </c>
      <c r="U964" s="81" t="n">
        <v>621</v>
      </c>
      <c r="V964" s="81" t="s">
        <v>1005</v>
      </c>
      <c r="W964" s="81" t="n">
        <v>526</v>
      </c>
      <c r="X964" s="81" t="s">
        <v>1005</v>
      </c>
      <c r="Y964" s="81" t="n">
        <v>392</v>
      </c>
      <c r="Z964" s="81" t="s">
        <v>1005</v>
      </c>
      <c r="AA964" s="81" t="n">
        <v>250</v>
      </c>
      <c r="AB964" s="81" t="s">
        <v>1005</v>
      </c>
      <c r="AC964" s="81" t="n">
        <v>705</v>
      </c>
      <c r="AD964" s="81" t="s">
        <v>1005</v>
      </c>
      <c r="AE964" s="90" t="n">
        <v>705</v>
      </c>
      <c r="AF964" s="81" t="s">
        <v>1005</v>
      </c>
      <c r="AG964" s="81" t="n">
        <f aca="false">303+400</f>
        <v>703</v>
      </c>
      <c r="AH964" s="81" t="s">
        <v>1005</v>
      </c>
      <c r="AI964" s="81" t="n">
        <f aca="false">507+484</f>
        <v>991</v>
      </c>
      <c r="AJ964" s="81" t="s">
        <v>1005</v>
      </c>
      <c r="AK964" s="81" t="n">
        <f aca="false">541+436</f>
        <v>977</v>
      </c>
      <c r="AL964" s="81" t="s">
        <v>1005</v>
      </c>
      <c r="AM964" s="81" t="n">
        <f aca="false">O964+Q964+S964+U964+W964+Y964+AA964+AC964+AE964+AG964+AI964+AK964</f>
        <v>8279</v>
      </c>
    </row>
    <row collapsed="false" customFormat="false" customHeight="true" hidden="false" ht="16.2" outlineLevel="0" r="965">
      <c r="A965" s="80" t="n">
        <v>496</v>
      </c>
      <c r="B965" s="81" t="s">
        <v>691</v>
      </c>
      <c r="C965" s="82" t="s">
        <v>1033</v>
      </c>
      <c r="D965" s="82" t="s">
        <v>1034</v>
      </c>
      <c r="E965" s="83" t="s">
        <v>1035</v>
      </c>
      <c r="F965" s="84" t="s">
        <v>1036</v>
      </c>
      <c r="G965" s="85"/>
      <c r="H965" s="85"/>
      <c r="I965" s="85"/>
      <c r="J965" s="85"/>
      <c r="K965" s="86" t="s">
        <v>53</v>
      </c>
      <c r="L965" s="86" t="s">
        <v>53</v>
      </c>
      <c r="M965" s="90"/>
      <c r="N965" s="90"/>
      <c r="O965" s="90"/>
      <c r="P965" s="90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81"/>
      <c r="AB965" s="81"/>
      <c r="AC965" s="81"/>
      <c r="AD965" s="81"/>
      <c r="AE965" s="90"/>
      <c r="AF965" s="81"/>
      <c r="AG965" s="81"/>
      <c r="AH965" s="81"/>
      <c r="AI965" s="81"/>
      <c r="AJ965" s="81"/>
      <c r="AK965" s="81"/>
      <c r="AL965" s="81"/>
      <c r="AM965" s="81" t="n">
        <f aca="false">O965+Q965+S965+U965+W965+Y965+AA965+AC965+AE965+AG965+AI965+AK965</f>
        <v>0</v>
      </c>
    </row>
    <row collapsed="false" customFormat="false" customHeight="true" hidden="false" ht="16.2" outlineLevel="0" r="966">
      <c r="A966" s="80"/>
      <c r="B966" s="89"/>
      <c r="C966" s="85"/>
      <c r="D966" s="85"/>
      <c r="E966" s="83" t="s">
        <v>1037</v>
      </c>
      <c r="F966" s="84" t="s">
        <v>1036</v>
      </c>
      <c r="G966" s="85"/>
      <c r="H966" s="85"/>
      <c r="I966" s="85"/>
      <c r="J966" s="85"/>
      <c r="K966" s="86"/>
      <c r="L966" s="86"/>
      <c r="M966" s="90" t="n">
        <f aca="false">2478+2460+145+133</f>
        <v>5216</v>
      </c>
      <c r="N966" s="91" t="n">
        <f aca="false">3545+2431</f>
        <v>5976</v>
      </c>
      <c r="O966" s="90" t="n">
        <v>1018</v>
      </c>
      <c r="P966" s="90" t="s">
        <v>1005</v>
      </c>
      <c r="Q966" s="81" t="n">
        <v>605</v>
      </c>
      <c r="R966" s="81"/>
      <c r="S966" s="81" t="n">
        <v>428</v>
      </c>
      <c r="T966" s="81" t="s">
        <v>1005</v>
      </c>
      <c r="U966" s="81" t="n">
        <v>572</v>
      </c>
      <c r="V966" s="81" t="s">
        <v>1005</v>
      </c>
      <c r="W966" s="81" t="n">
        <v>436</v>
      </c>
      <c r="X966" s="81" t="s">
        <v>1005</v>
      </c>
      <c r="Y966" s="81" t="n">
        <v>95</v>
      </c>
      <c r="Z966" s="81" t="s">
        <v>1005</v>
      </c>
      <c r="AA966" s="81" t="n">
        <v>180</v>
      </c>
      <c r="AB966" s="81" t="s">
        <v>1005</v>
      </c>
      <c r="AC966" s="81" t="n">
        <v>61</v>
      </c>
      <c r="AD966" s="81" t="s">
        <v>1005</v>
      </c>
      <c r="AE966" s="90" t="n">
        <v>61</v>
      </c>
      <c r="AF966" s="81" t="s">
        <v>1005</v>
      </c>
      <c r="AG966" s="81" t="n">
        <f aca="false">240+243</f>
        <v>483</v>
      </c>
      <c r="AH966" s="81" t="s">
        <v>1005</v>
      </c>
      <c r="AI966" s="81" t="n">
        <f aca="false">352+283</f>
        <v>635</v>
      </c>
      <c r="AJ966" s="81" t="s">
        <v>1005</v>
      </c>
      <c r="AK966" s="81" t="n">
        <f aca="false">318+215</f>
        <v>533</v>
      </c>
      <c r="AL966" s="81" t="s">
        <v>1005</v>
      </c>
      <c r="AM966" s="81" t="n">
        <f aca="false">O966+Q966+S966+U966+W966+Y966+AA966+AC966+AE966+AG966+AI966+AK966</f>
        <v>5107</v>
      </c>
    </row>
    <row collapsed="false" customFormat="false" customHeight="true" hidden="false" ht="16.2" outlineLevel="0" r="967">
      <c r="A967" s="80" t="n">
        <v>497</v>
      </c>
      <c r="B967" s="100" t="s">
        <v>693</v>
      </c>
      <c r="C967" s="82" t="s">
        <v>1033</v>
      </c>
      <c r="D967" s="92" t="s">
        <v>1056</v>
      </c>
      <c r="E967" s="83" t="s">
        <v>1035</v>
      </c>
      <c r="F967" s="49" t="s">
        <v>1036</v>
      </c>
      <c r="G967" s="92"/>
      <c r="H967" s="85"/>
      <c r="I967" s="85"/>
      <c r="J967" s="85"/>
      <c r="K967" s="93"/>
      <c r="L967" s="93"/>
      <c r="M967" s="81"/>
      <c r="N967" s="81"/>
      <c r="O967" s="90"/>
      <c r="P967" s="95"/>
      <c r="Q967" s="81"/>
      <c r="R967" s="95"/>
      <c r="S967" s="81"/>
      <c r="T967" s="95"/>
      <c r="U967" s="81"/>
      <c r="V967" s="95"/>
      <c r="W967" s="81"/>
      <c r="X967" s="95"/>
      <c r="Y967" s="81"/>
      <c r="Z967" s="95"/>
      <c r="AA967" s="81"/>
      <c r="AB967" s="95"/>
      <c r="AC967" s="81"/>
      <c r="AD967" s="95"/>
      <c r="AE967" s="81"/>
      <c r="AF967" s="95"/>
      <c r="AG967" s="81"/>
      <c r="AH967" s="95"/>
      <c r="AI967" s="81"/>
      <c r="AJ967" s="95"/>
      <c r="AK967" s="81"/>
      <c r="AL967" s="95"/>
      <c r="AM967" s="81"/>
    </row>
    <row collapsed="false" customFormat="false" customHeight="true" hidden="false" ht="16.2" outlineLevel="0" r="968">
      <c r="A968" s="80"/>
      <c r="B968" s="101"/>
      <c r="C968" s="85"/>
      <c r="D968" s="92"/>
      <c r="E968" s="83" t="s">
        <v>1037</v>
      </c>
      <c r="F968" s="49" t="s">
        <v>1036</v>
      </c>
      <c r="G968" s="85" t="s">
        <v>1057</v>
      </c>
      <c r="H968" s="85" t="n">
        <v>8</v>
      </c>
      <c r="I968" s="85"/>
      <c r="J968" s="85"/>
      <c r="K968" s="93" t="s">
        <v>53</v>
      </c>
      <c r="L968" s="93" t="s">
        <v>53</v>
      </c>
      <c r="M968" s="81" t="n">
        <v>5323</v>
      </c>
      <c r="N968" s="81" t="n">
        <v>4962</v>
      </c>
      <c r="O968" s="90" t="n">
        <v>601</v>
      </c>
      <c r="P968" s="95" t="s">
        <v>1005</v>
      </c>
      <c r="Q968" s="81" t="n">
        <v>614</v>
      </c>
      <c r="R968" s="95" t="s">
        <v>1005</v>
      </c>
      <c r="S968" s="81" t="n">
        <v>423</v>
      </c>
      <c r="T968" s="95" t="s">
        <v>1005</v>
      </c>
      <c r="U968" s="81" t="n">
        <v>451</v>
      </c>
      <c r="V968" s="95" t="s">
        <v>1005</v>
      </c>
      <c r="W968" s="81" t="n">
        <v>938</v>
      </c>
      <c r="X968" s="95" t="s">
        <v>1005</v>
      </c>
      <c r="Y968" s="81" t="n">
        <v>350</v>
      </c>
      <c r="Z968" s="95" t="s">
        <v>1005</v>
      </c>
      <c r="AA968" s="81" t="n">
        <v>343</v>
      </c>
      <c r="AB968" s="95" t="s">
        <v>1005</v>
      </c>
      <c r="AC968" s="81" t="n">
        <v>423</v>
      </c>
      <c r="AD968" s="95" t="s">
        <v>1005</v>
      </c>
      <c r="AE968" s="81" t="n">
        <v>507</v>
      </c>
      <c r="AF968" s="95" t="s">
        <v>1005</v>
      </c>
      <c r="AG968" s="81" t="n">
        <v>453</v>
      </c>
      <c r="AH968" s="95" t="s">
        <v>1005</v>
      </c>
      <c r="AI968" s="81" t="n">
        <v>647</v>
      </c>
      <c r="AJ968" s="95" t="s">
        <v>1005</v>
      </c>
      <c r="AK968" s="81" t="n">
        <v>641</v>
      </c>
      <c r="AL968" s="95" t="s">
        <v>1005</v>
      </c>
      <c r="AM968" s="81" t="n">
        <f aca="false">O968+Q968+S968+U968+W968+Y968+AA968+AC968+AE968+AG968+AI968+AK968</f>
        <v>6391</v>
      </c>
    </row>
    <row collapsed="false" customFormat="false" customHeight="true" hidden="false" ht="16.2" outlineLevel="0" r="969">
      <c r="A969" s="80" t="n">
        <v>498</v>
      </c>
      <c r="B969" s="81"/>
      <c r="C969" s="82" t="s">
        <v>1033</v>
      </c>
      <c r="D969" s="85"/>
      <c r="E969" s="83" t="s">
        <v>1035</v>
      </c>
      <c r="F969" s="49" t="s">
        <v>1036</v>
      </c>
      <c r="G969" s="85"/>
      <c r="H969" s="85"/>
      <c r="I969" s="85"/>
      <c r="J969" s="85"/>
      <c r="K969" s="85"/>
      <c r="L969" s="85"/>
      <c r="M969" s="81"/>
      <c r="N969" s="81"/>
      <c r="O969" s="96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  <c r="AC969" s="81"/>
      <c r="AD969" s="81"/>
      <c r="AE969" s="81"/>
      <c r="AF969" s="81"/>
      <c r="AG969" s="81"/>
      <c r="AH969" s="81"/>
      <c r="AI969" s="81"/>
      <c r="AJ969" s="81"/>
      <c r="AK969" s="81"/>
      <c r="AL969" s="81"/>
      <c r="AM969" s="81"/>
    </row>
    <row collapsed="false" customFormat="false" customHeight="true" hidden="false" ht="16.2" outlineLevel="0" r="970">
      <c r="A970" s="80"/>
      <c r="B970" s="81" t="s">
        <v>695</v>
      </c>
      <c r="C970" s="85"/>
      <c r="D970" s="85" t="s">
        <v>1054</v>
      </c>
      <c r="E970" s="83" t="s">
        <v>1037</v>
      </c>
      <c r="F970" s="49" t="s">
        <v>1036</v>
      </c>
      <c r="G970" s="85" t="s">
        <v>1042</v>
      </c>
      <c r="H970" s="85" t="n">
        <v>4</v>
      </c>
      <c r="I970" s="85" t="s">
        <v>1039</v>
      </c>
      <c r="J970" s="85" t="n">
        <v>1</v>
      </c>
      <c r="K970" s="85" t="s">
        <v>1041</v>
      </c>
      <c r="L970" s="85" t="s">
        <v>1041</v>
      </c>
      <c r="M970" s="81" t="n">
        <v>642</v>
      </c>
      <c r="N970" s="81"/>
      <c r="O970" s="96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81"/>
      <c r="AB970" s="81"/>
      <c r="AC970" s="81"/>
      <c r="AD970" s="81"/>
      <c r="AE970" s="81"/>
      <c r="AF970" s="81"/>
      <c r="AG970" s="81"/>
      <c r="AH970" s="81"/>
      <c r="AI970" s="81"/>
      <c r="AJ970" s="81"/>
      <c r="AK970" s="81"/>
      <c r="AL970" s="81"/>
      <c r="AM970" s="81"/>
    </row>
    <row collapsed="false" customFormat="false" customHeight="true" hidden="false" ht="16.2" outlineLevel="0" r="971">
      <c r="A971" s="80" t="n">
        <v>499</v>
      </c>
      <c r="B971" s="81"/>
      <c r="C971" s="82" t="s">
        <v>1033</v>
      </c>
      <c r="D971" s="85"/>
      <c r="E971" s="83" t="s">
        <v>1035</v>
      </c>
      <c r="F971" s="49" t="s">
        <v>1036</v>
      </c>
      <c r="G971" s="85"/>
      <c r="H971" s="85"/>
      <c r="I971" s="85"/>
      <c r="J971" s="85"/>
      <c r="K971" s="85"/>
      <c r="L971" s="85"/>
      <c r="M971" s="81"/>
      <c r="N971" s="81"/>
      <c r="O971" s="96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81"/>
      <c r="AB971" s="81"/>
      <c r="AC971" s="81"/>
      <c r="AD971" s="81"/>
      <c r="AE971" s="81"/>
      <c r="AF971" s="81"/>
      <c r="AG971" s="81"/>
      <c r="AH971" s="81"/>
      <c r="AI971" s="81"/>
      <c r="AJ971" s="81"/>
      <c r="AK971" s="81"/>
      <c r="AL971" s="81"/>
      <c r="AM971" s="81"/>
    </row>
    <row collapsed="false" customFormat="false" customHeight="true" hidden="false" ht="16.2" outlineLevel="0" r="972">
      <c r="A972" s="80"/>
      <c r="B972" s="81" t="s">
        <v>696</v>
      </c>
      <c r="C972" s="85"/>
      <c r="D972" s="85" t="s">
        <v>1054</v>
      </c>
      <c r="E972" s="83" t="s">
        <v>1037</v>
      </c>
      <c r="F972" s="49" t="s">
        <v>1036</v>
      </c>
      <c r="G972" s="85" t="s">
        <v>1042</v>
      </c>
      <c r="H972" s="85" t="n">
        <v>4</v>
      </c>
      <c r="I972" s="85" t="s">
        <v>1039</v>
      </c>
      <c r="J972" s="85" t="n">
        <v>2</v>
      </c>
      <c r="K972" s="85" t="s">
        <v>1041</v>
      </c>
      <c r="L972" s="85" t="s">
        <v>1041</v>
      </c>
      <c r="M972" s="81" t="n">
        <v>1824</v>
      </c>
      <c r="N972" s="81"/>
      <c r="O972" s="96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81"/>
      <c r="AB972" s="81"/>
      <c r="AC972" s="81"/>
      <c r="AD972" s="81"/>
      <c r="AE972" s="81"/>
      <c r="AF972" s="81"/>
      <c r="AG972" s="81"/>
      <c r="AH972" s="81"/>
      <c r="AI972" s="81"/>
      <c r="AJ972" s="81"/>
      <c r="AK972" s="81"/>
      <c r="AL972" s="81"/>
      <c r="AM972" s="81"/>
    </row>
    <row collapsed="false" customFormat="false" customHeight="true" hidden="false" ht="16.2" outlineLevel="0" r="973">
      <c r="A973" s="80" t="n">
        <v>500</v>
      </c>
      <c r="B973" s="81"/>
      <c r="C973" s="82" t="s">
        <v>1033</v>
      </c>
      <c r="D973" s="85"/>
      <c r="E973" s="83" t="s">
        <v>1035</v>
      </c>
      <c r="F973" s="49" t="s">
        <v>1036</v>
      </c>
      <c r="G973" s="85"/>
      <c r="H973" s="85"/>
      <c r="I973" s="85"/>
      <c r="J973" s="85"/>
      <c r="K973" s="85"/>
      <c r="L973" s="85"/>
      <c r="M973" s="81"/>
      <c r="N973" s="81"/>
      <c r="O973" s="96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  <c r="AA973" s="81"/>
      <c r="AB973" s="81"/>
      <c r="AC973" s="81"/>
      <c r="AD973" s="81"/>
      <c r="AE973" s="81"/>
      <c r="AF973" s="81"/>
      <c r="AG973" s="81"/>
      <c r="AH973" s="81"/>
      <c r="AI973" s="81"/>
      <c r="AJ973" s="81"/>
      <c r="AK973" s="81"/>
      <c r="AL973" s="81"/>
      <c r="AM973" s="81"/>
    </row>
    <row collapsed="false" customFormat="false" customHeight="true" hidden="false" ht="16.2" outlineLevel="0" r="974">
      <c r="A974" s="80"/>
      <c r="B974" s="81" t="s">
        <v>697</v>
      </c>
      <c r="C974" s="85"/>
      <c r="D974" s="85" t="s">
        <v>1054</v>
      </c>
      <c r="E974" s="83" t="s">
        <v>1037</v>
      </c>
      <c r="F974" s="49" t="s">
        <v>1036</v>
      </c>
      <c r="G974" s="85" t="s">
        <v>1039</v>
      </c>
      <c r="H974" s="85" t="n">
        <v>10</v>
      </c>
      <c r="I974" s="85" t="s">
        <v>1039</v>
      </c>
      <c r="J974" s="85" t="n">
        <v>1</v>
      </c>
      <c r="K974" s="85" t="s">
        <v>1041</v>
      </c>
      <c r="L974" s="85" t="s">
        <v>1041</v>
      </c>
      <c r="M974" s="81" t="n">
        <v>0</v>
      </c>
      <c r="N974" s="81"/>
      <c r="O974" s="96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  <c r="AA974" s="81"/>
      <c r="AB974" s="81"/>
      <c r="AC974" s="81"/>
      <c r="AD974" s="81"/>
      <c r="AE974" s="81"/>
      <c r="AF974" s="81"/>
      <c r="AG974" s="81"/>
      <c r="AH974" s="81"/>
      <c r="AI974" s="81"/>
      <c r="AJ974" s="81"/>
      <c r="AK974" s="81"/>
      <c r="AL974" s="81"/>
      <c r="AM974" s="81"/>
    </row>
    <row collapsed="false" customFormat="false" customHeight="true" hidden="false" ht="16.2" outlineLevel="0" r="975">
      <c r="A975" s="80" t="n">
        <v>501</v>
      </c>
      <c r="B975" s="81"/>
      <c r="C975" s="82" t="s">
        <v>1033</v>
      </c>
      <c r="D975" s="85"/>
      <c r="E975" s="83" t="s">
        <v>1035</v>
      </c>
      <c r="F975" s="49" t="s">
        <v>1036</v>
      </c>
      <c r="G975" s="85"/>
      <c r="H975" s="85"/>
      <c r="I975" s="85"/>
      <c r="J975" s="85"/>
      <c r="K975" s="85"/>
      <c r="L975" s="85"/>
      <c r="M975" s="81" t="n">
        <v>25599</v>
      </c>
      <c r="N975" s="81"/>
      <c r="O975" s="96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  <c r="AA975" s="81"/>
      <c r="AB975" s="81"/>
      <c r="AC975" s="81"/>
      <c r="AD975" s="81"/>
      <c r="AE975" s="81"/>
      <c r="AF975" s="81"/>
      <c r="AG975" s="81"/>
      <c r="AH975" s="81"/>
      <c r="AI975" s="81"/>
      <c r="AJ975" s="81"/>
      <c r="AK975" s="81"/>
      <c r="AL975" s="81"/>
      <c r="AM975" s="81"/>
    </row>
    <row collapsed="false" customFormat="false" customHeight="true" hidden="false" ht="16.2" outlineLevel="0" r="976">
      <c r="A976" s="80"/>
      <c r="B976" s="81" t="s">
        <v>698</v>
      </c>
      <c r="C976" s="85"/>
      <c r="D976" s="85" t="s">
        <v>1054</v>
      </c>
      <c r="E976" s="83" t="s">
        <v>1037</v>
      </c>
      <c r="F976" s="49" t="s">
        <v>1036</v>
      </c>
      <c r="G976" s="85" t="s">
        <v>1039</v>
      </c>
      <c r="H976" s="85" t="n">
        <v>110</v>
      </c>
      <c r="I976" s="85" t="s">
        <v>1046</v>
      </c>
      <c r="J976" s="85" t="n">
        <v>12</v>
      </c>
      <c r="K976" s="85" t="s">
        <v>1041</v>
      </c>
      <c r="L976" s="85" t="s">
        <v>1041</v>
      </c>
      <c r="M976" s="81" t="n">
        <v>25599</v>
      </c>
      <c r="N976" s="81"/>
      <c r="O976" s="96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  <c r="AA976" s="81"/>
      <c r="AB976" s="81"/>
      <c r="AC976" s="81"/>
      <c r="AD976" s="81"/>
      <c r="AE976" s="81"/>
      <c r="AF976" s="81"/>
      <c r="AG976" s="81"/>
      <c r="AH976" s="81"/>
      <c r="AI976" s="81"/>
      <c r="AJ976" s="81"/>
      <c r="AK976" s="81"/>
      <c r="AL976" s="81"/>
      <c r="AM976" s="81"/>
    </row>
    <row collapsed="false" customFormat="false" customHeight="true" hidden="false" ht="16.2" outlineLevel="0" r="977">
      <c r="A977" s="80" t="n">
        <v>502</v>
      </c>
      <c r="B977" s="100" t="s">
        <v>700</v>
      </c>
      <c r="C977" s="82" t="s">
        <v>1033</v>
      </c>
      <c r="D977" s="92" t="s">
        <v>1056</v>
      </c>
      <c r="E977" s="83" t="s">
        <v>1035</v>
      </c>
      <c r="F977" s="49" t="s">
        <v>1036</v>
      </c>
      <c r="G977" s="92"/>
      <c r="H977" s="85"/>
      <c r="I977" s="85"/>
      <c r="J977" s="85"/>
      <c r="K977" s="93"/>
      <c r="L977" s="93"/>
      <c r="M977" s="81"/>
      <c r="N977" s="81"/>
      <c r="O977" s="90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  <c r="AD977" s="95"/>
      <c r="AE977" s="95"/>
      <c r="AF977" s="95"/>
      <c r="AG977" s="95"/>
      <c r="AH977" s="95"/>
      <c r="AI977" s="95"/>
      <c r="AJ977" s="95"/>
      <c r="AK977" s="95"/>
      <c r="AL977" s="95"/>
      <c r="AM977" s="81"/>
    </row>
    <row collapsed="false" customFormat="false" customHeight="true" hidden="false" ht="16.2" outlineLevel="0" r="978">
      <c r="A978" s="80"/>
      <c r="B978" s="101"/>
      <c r="C978" s="85"/>
      <c r="D978" s="92"/>
      <c r="E978" s="83" t="s">
        <v>1037</v>
      </c>
      <c r="F978" s="49" t="s">
        <v>1036</v>
      </c>
      <c r="G978" s="85" t="s">
        <v>1057</v>
      </c>
      <c r="H978" s="85" t="n">
        <v>12</v>
      </c>
      <c r="I978" s="85"/>
      <c r="J978" s="85"/>
      <c r="K978" s="93" t="s">
        <v>53</v>
      </c>
      <c r="L978" s="93" t="s">
        <v>53</v>
      </c>
      <c r="M978" s="81" t="n">
        <v>4878</v>
      </c>
      <c r="N978" s="81" t="n">
        <v>3744</v>
      </c>
      <c r="O978" s="90" t="n">
        <v>353</v>
      </c>
      <c r="P978" s="95" t="s">
        <v>1005</v>
      </c>
      <c r="Q978" s="81" t="n">
        <v>332</v>
      </c>
      <c r="R978" s="95" t="s">
        <v>1005</v>
      </c>
      <c r="S978" s="81" t="n">
        <v>176</v>
      </c>
      <c r="T978" s="95" t="s">
        <v>1005</v>
      </c>
      <c r="U978" s="81" t="n">
        <v>213</v>
      </c>
      <c r="V978" s="95" t="s">
        <v>1005</v>
      </c>
      <c r="W978" s="81" t="n">
        <v>209</v>
      </c>
      <c r="X978" s="95" t="s">
        <v>1005</v>
      </c>
      <c r="Y978" s="81" t="n">
        <v>115</v>
      </c>
      <c r="Z978" s="95" t="s">
        <v>1005</v>
      </c>
      <c r="AA978" s="81" t="n">
        <v>127</v>
      </c>
      <c r="AB978" s="95" t="s">
        <v>1005</v>
      </c>
      <c r="AC978" s="81" t="n">
        <v>142</v>
      </c>
      <c r="AD978" s="95" t="s">
        <v>1005</v>
      </c>
      <c r="AE978" s="81" t="n">
        <v>219</v>
      </c>
      <c r="AF978" s="95" t="s">
        <v>1005</v>
      </c>
      <c r="AG978" s="81" t="n">
        <v>249</v>
      </c>
      <c r="AH978" s="95" t="s">
        <v>1005</v>
      </c>
      <c r="AI978" s="81" t="n">
        <v>325</v>
      </c>
      <c r="AJ978" s="95" t="s">
        <v>1005</v>
      </c>
      <c r="AK978" s="81" t="n">
        <v>316</v>
      </c>
      <c r="AL978" s="95" t="s">
        <v>1005</v>
      </c>
      <c r="AM978" s="81" t="n">
        <f aca="false">O978+Q978+S978+U978+W978+Y978+AA978+AC978+AE978+AG978+AI978+AK978</f>
        <v>2776</v>
      </c>
    </row>
    <row collapsed="false" customFormat="false" customHeight="true" hidden="false" ht="16.2" outlineLevel="0" r="979">
      <c r="A979" s="80" t="n">
        <v>503</v>
      </c>
      <c r="B979" s="81"/>
      <c r="C979" s="82" t="s">
        <v>1033</v>
      </c>
      <c r="D979" s="85"/>
      <c r="E979" s="83" t="s">
        <v>1035</v>
      </c>
      <c r="F979" s="49" t="s">
        <v>1036</v>
      </c>
      <c r="G979" s="85"/>
      <c r="H979" s="85"/>
      <c r="I979" s="85"/>
      <c r="J979" s="85"/>
      <c r="K979" s="85"/>
      <c r="L979" s="85"/>
      <c r="M979" s="81"/>
      <c r="N979" s="81"/>
      <c r="O979" s="96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  <c r="AA979" s="81"/>
      <c r="AB979" s="81"/>
      <c r="AC979" s="81"/>
      <c r="AD979" s="81"/>
      <c r="AE979" s="81"/>
      <c r="AF979" s="81"/>
      <c r="AG979" s="81"/>
      <c r="AH979" s="81"/>
      <c r="AI979" s="81"/>
      <c r="AJ979" s="81"/>
      <c r="AK979" s="81"/>
      <c r="AL979" s="81"/>
      <c r="AM979" s="81"/>
    </row>
    <row collapsed="false" customFormat="false" customHeight="true" hidden="false" ht="16.2" outlineLevel="0" r="980">
      <c r="A980" s="80"/>
      <c r="B980" s="81" t="s">
        <v>701</v>
      </c>
      <c r="C980" s="85"/>
      <c r="D980" s="85" t="s">
        <v>1054</v>
      </c>
      <c r="E980" s="83" t="s">
        <v>1037</v>
      </c>
      <c r="F980" s="49" t="s">
        <v>1036</v>
      </c>
      <c r="G980" s="85" t="s">
        <v>1039</v>
      </c>
      <c r="H980" s="85" t="n">
        <v>9</v>
      </c>
      <c r="I980" s="85" t="n">
        <v>0</v>
      </c>
      <c r="J980" s="85" t="n">
        <v>0</v>
      </c>
      <c r="K980" s="85" t="s">
        <v>1041</v>
      </c>
      <c r="L980" s="85" t="s">
        <v>1041</v>
      </c>
      <c r="M980" s="81" t="n">
        <v>1140</v>
      </c>
      <c r="N980" s="81"/>
      <c r="O980" s="96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  <c r="AA980" s="81"/>
      <c r="AB980" s="81"/>
      <c r="AC980" s="81"/>
      <c r="AD980" s="81"/>
      <c r="AE980" s="81"/>
      <c r="AF980" s="81"/>
      <c r="AG980" s="81"/>
      <c r="AH980" s="81"/>
      <c r="AI980" s="81"/>
      <c r="AJ980" s="81"/>
      <c r="AK980" s="81"/>
      <c r="AL980" s="81"/>
      <c r="AM980" s="81"/>
    </row>
    <row collapsed="false" customFormat="false" customHeight="true" hidden="false" ht="16.2" outlineLevel="0" r="981">
      <c r="A981" s="80" t="n">
        <v>504</v>
      </c>
      <c r="B981" s="81"/>
      <c r="C981" s="82" t="s">
        <v>1033</v>
      </c>
      <c r="D981" s="85"/>
      <c r="E981" s="83" t="s">
        <v>1035</v>
      </c>
      <c r="F981" s="49" t="s">
        <v>1036</v>
      </c>
      <c r="G981" s="85"/>
      <c r="H981" s="85"/>
      <c r="I981" s="85"/>
      <c r="J981" s="85"/>
      <c r="K981" s="85"/>
      <c r="L981" s="85"/>
      <c r="M981" s="81"/>
      <c r="N981" s="81"/>
      <c r="O981" s="96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  <c r="AA981" s="81"/>
      <c r="AB981" s="81"/>
      <c r="AC981" s="81"/>
      <c r="AD981" s="81"/>
      <c r="AE981" s="81"/>
      <c r="AF981" s="81"/>
      <c r="AG981" s="81"/>
      <c r="AH981" s="81"/>
      <c r="AI981" s="81"/>
      <c r="AJ981" s="81"/>
      <c r="AK981" s="81"/>
      <c r="AL981" s="81"/>
      <c r="AM981" s="81"/>
    </row>
    <row collapsed="false" customFormat="false" customHeight="true" hidden="false" ht="16.2" outlineLevel="0" r="982">
      <c r="A982" s="80"/>
      <c r="B982" s="81" t="s">
        <v>702</v>
      </c>
      <c r="C982" s="85"/>
      <c r="D982" s="85" t="s">
        <v>1054</v>
      </c>
      <c r="E982" s="83" t="s">
        <v>1037</v>
      </c>
      <c r="F982" s="49" t="s">
        <v>1036</v>
      </c>
      <c r="G982" s="85" t="s">
        <v>1039</v>
      </c>
      <c r="H982" s="85" t="n">
        <v>10</v>
      </c>
      <c r="I982" s="85" t="n">
        <v>0</v>
      </c>
      <c r="J982" s="85" t="n">
        <v>0</v>
      </c>
      <c r="K982" s="85" t="s">
        <v>1041</v>
      </c>
      <c r="L982" s="85" t="s">
        <v>1041</v>
      </c>
      <c r="M982" s="81" t="n">
        <v>1950</v>
      </c>
      <c r="N982" s="81"/>
      <c r="O982" s="96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  <c r="AA982" s="81"/>
      <c r="AB982" s="81"/>
      <c r="AC982" s="81"/>
      <c r="AD982" s="81"/>
      <c r="AE982" s="81"/>
      <c r="AF982" s="81"/>
      <c r="AG982" s="81"/>
      <c r="AH982" s="81"/>
      <c r="AI982" s="81"/>
      <c r="AJ982" s="81"/>
      <c r="AK982" s="81"/>
      <c r="AL982" s="81"/>
      <c r="AM982" s="81"/>
    </row>
    <row collapsed="false" customFormat="false" customHeight="true" hidden="false" ht="16.2" outlineLevel="0" r="983">
      <c r="A983" s="80" t="n">
        <v>505</v>
      </c>
      <c r="B983" s="81"/>
      <c r="C983" s="82" t="s">
        <v>1033</v>
      </c>
      <c r="D983" s="85"/>
      <c r="E983" s="83" t="s">
        <v>1035</v>
      </c>
      <c r="F983" s="49" t="s">
        <v>1036</v>
      </c>
      <c r="G983" s="85"/>
      <c r="H983" s="85"/>
      <c r="I983" s="85"/>
      <c r="J983" s="85"/>
      <c r="K983" s="85"/>
      <c r="L983" s="85"/>
      <c r="M983" s="81"/>
      <c r="N983" s="81"/>
      <c r="O983" s="96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  <c r="AA983" s="81"/>
      <c r="AB983" s="81"/>
      <c r="AC983" s="81"/>
      <c r="AD983" s="81"/>
      <c r="AE983" s="81"/>
      <c r="AF983" s="81"/>
      <c r="AG983" s="81"/>
      <c r="AH983" s="81"/>
      <c r="AI983" s="81"/>
      <c r="AJ983" s="81"/>
      <c r="AK983" s="81"/>
      <c r="AL983" s="81"/>
      <c r="AM983" s="81"/>
    </row>
    <row collapsed="false" customFormat="false" customHeight="true" hidden="false" ht="16.2" outlineLevel="0" r="984">
      <c r="A984" s="80"/>
      <c r="B984" s="81" t="s">
        <v>703</v>
      </c>
      <c r="C984" s="85"/>
      <c r="D984" s="85" t="s">
        <v>1054</v>
      </c>
      <c r="E984" s="83" t="s">
        <v>1037</v>
      </c>
      <c r="F984" s="49" t="s">
        <v>1036</v>
      </c>
      <c r="G984" s="85" t="s">
        <v>1039</v>
      </c>
      <c r="H984" s="85" t="n">
        <v>9</v>
      </c>
      <c r="I984" s="85" t="s">
        <v>1059</v>
      </c>
      <c r="J984" s="85" t="n">
        <v>1</v>
      </c>
      <c r="K984" s="85" t="s">
        <v>1041</v>
      </c>
      <c r="L984" s="85" t="s">
        <v>1041</v>
      </c>
      <c r="M984" s="81"/>
      <c r="N984" s="81"/>
      <c r="O984" s="96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  <c r="AA984" s="81"/>
      <c r="AB984" s="81"/>
      <c r="AC984" s="81"/>
      <c r="AD984" s="81"/>
      <c r="AE984" s="81"/>
      <c r="AF984" s="81"/>
      <c r="AG984" s="81"/>
      <c r="AH984" s="81"/>
      <c r="AI984" s="81"/>
      <c r="AJ984" s="81"/>
      <c r="AK984" s="81"/>
      <c r="AL984" s="81"/>
      <c r="AM984" s="81"/>
    </row>
    <row collapsed="false" customFormat="false" customHeight="true" hidden="false" ht="16.2" outlineLevel="0" r="985">
      <c r="A985" s="80" t="n">
        <v>506</v>
      </c>
      <c r="B985" s="81"/>
      <c r="C985" s="82" t="s">
        <v>1033</v>
      </c>
      <c r="D985" s="85"/>
      <c r="E985" s="83" t="s">
        <v>1035</v>
      </c>
      <c r="F985" s="49" t="s">
        <v>1036</v>
      </c>
      <c r="G985" s="85"/>
      <c r="H985" s="85"/>
      <c r="I985" s="85"/>
      <c r="J985" s="85"/>
      <c r="K985" s="85"/>
      <c r="L985" s="85"/>
      <c r="M985" s="81"/>
      <c r="N985" s="81"/>
      <c r="O985" s="96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  <c r="AA985" s="81"/>
      <c r="AB985" s="81"/>
      <c r="AC985" s="81"/>
      <c r="AD985" s="81"/>
      <c r="AE985" s="81"/>
      <c r="AF985" s="81"/>
      <c r="AG985" s="81"/>
      <c r="AH985" s="81"/>
      <c r="AI985" s="81"/>
      <c r="AJ985" s="81"/>
      <c r="AK985" s="81"/>
      <c r="AL985" s="81"/>
      <c r="AM985" s="81"/>
    </row>
    <row collapsed="false" customFormat="false" customHeight="true" hidden="false" ht="16.2" outlineLevel="0" r="986">
      <c r="A986" s="80"/>
      <c r="B986" s="81" t="s">
        <v>704</v>
      </c>
      <c r="C986" s="85"/>
      <c r="D986" s="85" t="s">
        <v>1054</v>
      </c>
      <c r="E986" s="83" t="s">
        <v>1037</v>
      </c>
      <c r="F986" s="49" t="s">
        <v>1036</v>
      </c>
      <c r="G986" s="85" t="s">
        <v>1039</v>
      </c>
      <c r="H986" s="85" t="n">
        <v>28</v>
      </c>
      <c r="I986" s="85" t="s">
        <v>1039</v>
      </c>
      <c r="J986" s="85" t="n">
        <v>4</v>
      </c>
      <c r="K986" s="85" t="s">
        <v>1041</v>
      </c>
      <c r="L986" s="85" t="s">
        <v>1041</v>
      </c>
      <c r="M986" s="81" t="n">
        <v>5604</v>
      </c>
      <c r="N986" s="81"/>
      <c r="O986" s="96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  <c r="AA986" s="81"/>
      <c r="AB986" s="81"/>
      <c r="AC986" s="81"/>
      <c r="AD986" s="81"/>
      <c r="AE986" s="81"/>
      <c r="AF986" s="81"/>
      <c r="AG986" s="81"/>
      <c r="AH986" s="81"/>
      <c r="AI986" s="81"/>
      <c r="AJ986" s="81"/>
      <c r="AK986" s="81"/>
      <c r="AL986" s="81"/>
      <c r="AM986" s="81"/>
    </row>
    <row collapsed="false" customFormat="false" customHeight="true" hidden="false" ht="16.2" outlineLevel="0" r="987">
      <c r="A987" s="80" t="n">
        <v>507</v>
      </c>
      <c r="B987" s="81"/>
      <c r="C987" s="82" t="s">
        <v>1033</v>
      </c>
      <c r="D987" s="85"/>
      <c r="E987" s="83" t="s">
        <v>1035</v>
      </c>
      <c r="F987" s="49" t="s">
        <v>1036</v>
      </c>
      <c r="G987" s="85"/>
      <c r="H987" s="85"/>
      <c r="I987" s="85"/>
      <c r="J987" s="85"/>
      <c r="K987" s="85"/>
      <c r="L987" s="85"/>
      <c r="M987" s="81"/>
      <c r="N987" s="81"/>
      <c r="O987" s="96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  <c r="AA987" s="81"/>
      <c r="AB987" s="81"/>
      <c r="AC987" s="81"/>
      <c r="AD987" s="81"/>
      <c r="AE987" s="81"/>
      <c r="AF987" s="81"/>
      <c r="AG987" s="81"/>
      <c r="AH987" s="81"/>
      <c r="AI987" s="81"/>
      <c r="AJ987" s="81"/>
      <c r="AK987" s="81"/>
      <c r="AL987" s="81"/>
      <c r="AM987" s="81"/>
    </row>
    <row collapsed="false" customFormat="false" customHeight="true" hidden="false" ht="16.2" outlineLevel="0" r="988">
      <c r="A988" s="80"/>
      <c r="B988" s="81" t="s">
        <v>705</v>
      </c>
      <c r="C988" s="85"/>
      <c r="D988" s="85" t="s">
        <v>1054</v>
      </c>
      <c r="E988" s="83" t="s">
        <v>1037</v>
      </c>
      <c r="F988" s="49" t="s">
        <v>1036</v>
      </c>
      <c r="G988" s="85" t="s">
        <v>1039</v>
      </c>
      <c r="H988" s="85" t="n">
        <v>9</v>
      </c>
      <c r="I988" s="85" t="n">
        <v>0</v>
      </c>
      <c r="J988" s="85" t="n">
        <v>0</v>
      </c>
      <c r="K988" s="85" t="s">
        <v>1041</v>
      </c>
      <c r="L988" s="85" t="s">
        <v>1041</v>
      </c>
      <c r="M988" s="81" t="n">
        <v>1020</v>
      </c>
      <c r="N988" s="81"/>
      <c r="O988" s="96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  <c r="AA988" s="81"/>
      <c r="AB988" s="81"/>
      <c r="AC988" s="81"/>
      <c r="AD988" s="81"/>
      <c r="AE988" s="81"/>
      <c r="AF988" s="81"/>
      <c r="AG988" s="81"/>
      <c r="AH988" s="81"/>
      <c r="AI988" s="81"/>
      <c r="AJ988" s="81"/>
      <c r="AK988" s="81"/>
      <c r="AL988" s="81"/>
      <c r="AM988" s="81"/>
    </row>
    <row collapsed="false" customFormat="false" customHeight="true" hidden="false" ht="16.2" outlineLevel="0" r="989">
      <c r="A989" s="80" t="n">
        <v>508</v>
      </c>
      <c r="B989" s="81"/>
      <c r="C989" s="82" t="s">
        <v>1033</v>
      </c>
      <c r="D989" s="85"/>
      <c r="E989" s="83" t="s">
        <v>1035</v>
      </c>
      <c r="F989" s="49" t="s">
        <v>1036</v>
      </c>
      <c r="G989" s="85"/>
      <c r="H989" s="85"/>
      <c r="I989" s="85"/>
      <c r="J989" s="85"/>
      <c r="K989" s="85"/>
      <c r="L989" s="85"/>
      <c r="M989" s="81"/>
      <c r="N989" s="81"/>
      <c r="O989" s="96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  <c r="AA989" s="81"/>
      <c r="AB989" s="81"/>
      <c r="AC989" s="81"/>
      <c r="AD989" s="81"/>
      <c r="AE989" s="81"/>
      <c r="AF989" s="81"/>
      <c r="AG989" s="81"/>
      <c r="AH989" s="81"/>
      <c r="AI989" s="81"/>
      <c r="AJ989" s="81"/>
      <c r="AK989" s="81"/>
      <c r="AL989" s="81"/>
      <c r="AM989" s="81"/>
    </row>
    <row collapsed="false" customFormat="false" customHeight="true" hidden="false" ht="16.2" outlineLevel="0" r="990">
      <c r="A990" s="80"/>
      <c r="B990" s="81" t="s">
        <v>706</v>
      </c>
      <c r="C990" s="85"/>
      <c r="D990" s="85" t="s">
        <v>1054</v>
      </c>
      <c r="E990" s="83" t="s">
        <v>1037</v>
      </c>
      <c r="F990" s="49" t="s">
        <v>1036</v>
      </c>
      <c r="G990" s="85" t="s">
        <v>1039</v>
      </c>
      <c r="H990" s="85" t="n">
        <v>14</v>
      </c>
      <c r="I990" s="85" t="s">
        <v>1039</v>
      </c>
      <c r="J990" s="85" t="n">
        <v>1</v>
      </c>
      <c r="K990" s="85" t="s">
        <v>1041</v>
      </c>
      <c r="L990" s="85" t="s">
        <v>1041</v>
      </c>
      <c r="M990" s="81" t="n">
        <v>4410</v>
      </c>
      <c r="N990" s="81"/>
      <c r="O990" s="96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  <c r="AA990" s="81"/>
      <c r="AB990" s="81"/>
      <c r="AC990" s="81"/>
      <c r="AD990" s="81"/>
      <c r="AE990" s="81"/>
      <c r="AF990" s="81"/>
      <c r="AG990" s="81"/>
      <c r="AH990" s="81"/>
      <c r="AI990" s="81"/>
      <c r="AJ990" s="81"/>
      <c r="AK990" s="81"/>
      <c r="AL990" s="81"/>
      <c r="AM990" s="81"/>
    </row>
    <row collapsed="false" customFormat="false" customHeight="true" hidden="false" ht="16.2" outlineLevel="0" r="991">
      <c r="A991" s="80" t="n">
        <v>509</v>
      </c>
      <c r="B991" s="81"/>
      <c r="C991" s="82" t="s">
        <v>1033</v>
      </c>
      <c r="D991" s="85"/>
      <c r="E991" s="83" t="s">
        <v>1035</v>
      </c>
      <c r="F991" s="49" t="s">
        <v>1036</v>
      </c>
      <c r="G991" s="85"/>
      <c r="H991" s="85"/>
      <c r="I991" s="85"/>
      <c r="J991" s="85"/>
      <c r="K991" s="85"/>
      <c r="L991" s="85"/>
      <c r="M991" s="81"/>
      <c r="N991" s="81"/>
      <c r="O991" s="96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  <c r="AA991" s="81"/>
      <c r="AB991" s="81"/>
      <c r="AC991" s="81"/>
      <c r="AD991" s="81"/>
      <c r="AE991" s="81"/>
      <c r="AF991" s="81"/>
      <c r="AG991" s="81"/>
      <c r="AH991" s="81"/>
      <c r="AI991" s="81"/>
      <c r="AJ991" s="81"/>
      <c r="AK991" s="81"/>
      <c r="AL991" s="81"/>
      <c r="AM991" s="81"/>
    </row>
    <row collapsed="false" customFormat="false" customHeight="true" hidden="false" ht="16.2" outlineLevel="0" r="992">
      <c r="A992" s="80"/>
      <c r="B992" s="81" t="s">
        <v>707</v>
      </c>
      <c r="C992" s="85"/>
      <c r="D992" s="85" t="s">
        <v>1054</v>
      </c>
      <c r="E992" s="83" t="s">
        <v>1037</v>
      </c>
      <c r="F992" s="49" t="s">
        <v>1036</v>
      </c>
      <c r="G992" s="85" t="s">
        <v>1039</v>
      </c>
      <c r="H992" s="85" t="n">
        <v>9</v>
      </c>
      <c r="I992" s="85" t="n">
        <v>0</v>
      </c>
      <c r="J992" s="85" t="n">
        <v>0</v>
      </c>
      <c r="K992" s="85" t="s">
        <v>1041</v>
      </c>
      <c r="L992" s="85" t="s">
        <v>1041</v>
      </c>
      <c r="M992" s="81"/>
      <c r="N992" s="81"/>
      <c r="O992" s="96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  <c r="AA992" s="81"/>
      <c r="AB992" s="81"/>
      <c r="AC992" s="81"/>
      <c r="AD992" s="81"/>
      <c r="AE992" s="81"/>
      <c r="AF992" s="81"/>
      <c r="AG992" s="81"/>
      <c r="AH992" s="81"/>
      <c r="AI992" s="81"/>
      <c r="AJ992" s="81"/>
      <c r="AK992" s="81"/>
      <c r="AL992" s="81"/>
      <c r="AM992" s="81"/>
    </row>
    <row collapsed="false" customFormat="false" customHeight="true" hidden="false" ht="16.2" outlineLevel="0" r="993">
      <c r="A993" s="80" t="n">
        <v>510</v>
      </c>
      <c r="B993" s="81"/>
      <c r="C993" s="82" t="s">
        <v>1033</v>
      </c>
      <c r="D993" s="85"/>
      <c r="E993" s="83" t="s">
        <v>1035</v>
      </c>
      <c r="F993" s="49" t="s">
        <v>1036</v>
      </c>
      <c r="G993" s="85"/>
      <c r="H993" s="85"/>
      <c r="I993" s="85"/>
      <c r="J993" s="85"/>
      <c r="K993" s="85"/>
      <c r="L993" s="85"/>
      <c r="M993" s="81"/>
      <c r="N993" s="81"/>
      <c r="O993" s="96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  <c r="AA993" s="81"/>
      <c r="AB993" s="81"/>
      <c r="AC993" s="81"/>
      <c r="AD993" s="81"/>
      <c r="AE993" s="81"/>
      <c r="AF993" s="81"/>
      <c r="AG993" s="81"/>
      <c r="AH993" s="81"/>
      <c r="AI993" s="81"/>
      <c r="AJ993" s="81"/>
      <c r="AK993" s="81"/>
      <c r="AL993" s="81"/>
      <c r="AM993" s="81"/>
    </row>
    <row collapsed="false" customFormat="false" customHeight="true" hidden="false" ht="16.2" outlineLevel="0" r="994">
      <c r="A994" s="80"/>
      <c r="B994" s="81" t="s">
        <v>708</v>
      </c>
      <c r="C994" s="85"/>
      <c r="D994" s="85" t="s">
        <v>1054</v>
      </c>
      <c r="E994" s="83" t="s">
        <v>1037</v>
      </c>
      <c r="F994" s="49" t="s">
        <v>1036</v>
      </c>
      <c r="G994" s="85" t="s">
        <v>1039</v>
      </c>
      <c r="H994" s="85" t="n">
        <v>9</v>
      </c>
      <c r="I994" s="85" t="n">
        <v>0</v>
      </c>
      <c r="J994" s="85" t="n">
        <v>0</v>
      </c>
      <c r="K994" s="85" t="s">
        <v>1041</v>
      </c>
      <c r="L994" s="85" t="s">
        <v>1041</v>
      </c>
      <c r="M994" s="81"/>
      <c r="N994" s="81"/>
      <c r="O994" s="96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  <c r="AA994" s="81"/>
      <c r="AB994" s="81"/>
      <c r="AC994" s="81"/>
      <c r="AD994" s="81"/>
      <c r="AE994" s="81"/>
      <c r="AF994" s="81"/>
      <c r="AG994" s="81"/>
      <c r="AH994" s="81"/>
      <c r="AI994" s="81"/>
      <c r="AJ994" s="81"/>
      <c r="AK994" s="81"/>
      <c r="AL994" s="81"/>
      <c r="AM994" s="81"/>
    </row>
    <row collapsed="false" customFormat="false" customHeight="true" hidden="false" ht="16.2" outlineLevel="0" r="995">
      <c r="A995" s="80" t="n">
        <v>511</v>
      </c>
      <c r="B995" s="81"/>
      <c r="C995" s="82" t="s">
        <v>1033</v>
      </c>
      <c r="D995" s="85"/>
      <c r="E995" s="83" t="s">
        <v>1035</v>
      </c>
      <c r="F995" s="49" t="s">
        <v>1036</v>
      </c>
      <c r="G995" s="85"/>
      <c r="H995" s="85"/>
      <c r="I995" s="85"/>
      <c r="J995" s="85"/>
      <c r="K995" s="85"/>
      <c r="L995" s="85"/>
      <c r="M995" s="81"/>
      <c r="N995" s="81"/>
      <c r="O995" s="96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  <c r="AA995" s="81"/>
      <c r="AB995" s="81"/>
      <c r="AC995" s="81"/>
      <c r="AD995" s="81"/>
      <c r="AE995" s="81"/>
      <c r="AF995" s="81"/>
      <c r="AG995" s="81"/>
      <c r="AH995" s="81"/>
      <c r="AI995" s="81"/>
      <c r="AJ995" s="81"/>
      <c r="AK995" s="81"/>
      <c r="AL995" s="81"/>
      <c r="AM995" s="81"/>
    </row>
    <row collapsed="false" customFormat="false" customHeight="true" hidden="false" ht="16.2" outlineLevel="0" r="996">
      <c r="A996" s="80"/>
      <c r="B996" s="81" t="s">
        <v>709</v>
      </c>
      <c r="C996" s="85"/>
      <c r="D996" s="85" t="s">
        <v>1054</v>
      </c>
      <c r="E996" s="83" t="s">
        <v>1037</v>
      </c>
      <c r="F996" s="49" t="s">
        <v>1036</v>
      </c>
      <c r="G996" s="85" t="s">
        <v>1039</v>
      </c>
      <c r="H996" s="85" t="n">
        <v>260</v>
      </c>
      <c r="I996" s="85" t="n">
        <v>0</v>
      </c>
      <c r="J996" s="85" t="n">
        <v>0</v>
      </c>
      <c r="K996" s="85" t="s">
        <v>1041</v>
      </c>
      <c r="L996" s="85" t="s">
        <v>1041</v>
      </c>
      <c r="M996" s="81" t="n">
        <v>9786</v>
      </c>
      <c r="N996" s="81"/>
      <c r="O996" s="96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  <c r="AA996" s="81"/>
      <c r="AB996" s="81"/>
      <c r="AC996" s="81"/>
      <c r="AD996" s="81"/>
      <c r="AE996" s="81"/>
      <c r="AF996" s="81"/>
      <c r="AG996" s="81"/>
      <c r="AH996" s="81"/>
      <c r="AI996" s="81"/>
      <c r="AJ996" s="81"/>
      <c r="AK996" s="81"/>
      <c r="AL996" s="81"/>
      <c r="AM996" s="81"/>
    </row>
    <row collapsed="false" customFormat="false" customHeight="true" hidden="false" ht="16.2" outlineLevel="0" r="997">
      <c r="A997" s="80" t="n">
        <v>512</v>
      </c>
      <c r="B997" s="81"/>
      <c r="C997" s="82" t="s">
        <v>1033</v>
      </c>
      <c r="D997" s="85"/>
      <c r="E997" s="83" t="s">
        <v>1035</v>
      </c>
      <c r="F997" s="49" t="s">
        <v>1036</v>
      </c>
      <c r="G997" s="85"/>
      <c r="H997" s="85"/>
      <c r="I997" s="85"/>
      <c r="J997" s="85"/>
      <c r="K997" s="85"/>
      <c r="L997" s="85"/>
      <c r="M997" s="81"/>
      <c r="N997" s="81"/>
      <c r="O997" s="96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  <c r="AA997" s="81"/>
      <c r="AB997" s="81"/>
      <c r="AC997" s="81"/>
      <c r="AD997" s="81"/>
      <c r="AE997" s="81"/>
      <c r="AF997" s="81"/>
      <c r="AG997" s="81"/>
      <c r="AH997" s="81"/>
      <c r="AI997" s="81"/>
      <c r="AJ997" s="81"/>
      <c r="AK997" s="81"/>
      <c r="AL997" s="81"/>
      <c r="AM997" s="81"/>
    </row>
    <row collapsed="false" customFormat="false" customHeight="true" hidden="false" ht="16.2" outlineLevel="0" r="998">
      <c r="A998" s="80"/>
      <c r="B998" s="81" t="s">
        <v>710</v>
      </c>
      <c r="C998" s="85"/>
      <c r="D998" s="85" t="s">
        <v>1054</v>
      </c>
      <c r="E998" s="83" t="s">
        <v>1037</v>
      </c>
      <c r="F998" s="49" t="s">
        <v>1036</v>
      </c>
      <c r="G998" s="85" t="s">
        <v>1039</v>
      </c>
      <c r="H998" s="85" t="n">
        <v>10</v>
      </c>
      <c r="I998" s="85" t="n">
        <v>0</v>
      </c>
      <c r="J998" s="85" t="n">
        <v>0</v>
      </c>
      <c r="K998" s="85" t="s">
        <v>1041</v>
      </c>
      <c r="L998" s="85" t="s">
        <v>1041</v>
      </c>
      <c r="M998" s="81" t="n">
        <v>450</v>
      </c>
      <c r="N998" s="81"/>
      <c r="O998" s="96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  <c r="AA998" s="81"/>
      <c r="AB998" s="81"/>
      <c r="AC998" s="81"/>
      <c r="AD998" s="81"/>
      <c r="AE998" s="81"/>
      <c r="AF998" s="81"/>
      <c r="AG998" s="81"/>
      <c r="AH998" s="81"/>
      <c r="AI998" s="81"/>
      <c r="AJ998" s="81"/>
      <c r="AK998" s="81"/>
      <c r="AL998" s="81"/>
      <c r="AM998" s="81"/>
    </row>
    <row collapsed="false" customFormat="false" customHeight="true" hidden="false" ht="16.2" outlineLevel="0" r="999">
      <c r="A999" s="80" t="n">
        <v>513</v>
      </c>
      <c r="B999" s="81"/>
      <c r="C999" s="82" t="s">
        <v>1033</v>
      </c>
      <c r="D999" s="85"/>
      <c r="E999" s="83" t="s">
        <v>1035</v>
      </c>
      <c r="F999" s="49" t="s">
        <v>1036</v>
      </c>
      <c r="G999" s="85"/>
      <c r="H999" s="85"/>
      <c r="I999" s="85"/>
      <c r="J999" s="85"/>
      <c r="K999" s="85"/>
      <c r="L999" s="85"/>
      <c r="M999" s="81"/>
      <c r="N999" s="81"/>
      <c r="O999" s="96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  <c r="AA999" s="81"/>
      <c r="AB999" s="81"/>
      <c r="AC999" s="81"/>
      <c r="AD999" s="81"/>
      <c r="AE999" s="81"/>
      <c r="AF999" s="81"/>
      <c r="AG999" s="81"/>
      <c r="AH999" s="81"/>
      <c r="AI999" s="81"/>
      <c r="AJ999" s="81"/>
      <c r="AK999" s="81"/>
      <c r="AL999" s="81"/>
      <c r="AM999" s="81"/>
    </row>
    <row collapsed="false" customFormat="false" customHeight="true" hidden="false" ht="16.2" outlineLevel="0" r="1000">
      <c r="A1000" s="80"/>
      <c r="B1000" s="81" t="s">
        <v>711</v>
      </c>
      <c r="C1000" s="85"/>
      <c r="D1000" s="85" t="s">
        <v>1054</v>
      </c>
      <c r="E1000" s="83" t="s">
        <v>1037</v>
      </c>
      <c r="F1000" s="49" t="s">
        <v>1036</v>
      </c>
      <c r="G1000" s="85" t="s">
        <v>1039</v>
      </c>
      <c r="H1000" s="85" t="n">
        <v>21</v>
      </c>
      <c r="I1000" s="85" t="n">
        <v>0</v>
      </c>
      <c r="J1000" s="85" t="n">
        <v>0</v>
      </c>
      <c r="K1000" s="85" t="s">
        <v>1041</v>
      </c>
      <c r="L1000" s="85" t="s">
        <v>1041</v>
      </c>
      <c r="M1000" s="81" t="n">
        <v>2556</v>
      </c>
      <c r="N1000" s="81"/>
      <c r="O1000" s="96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  <c r="AA1000" s="81"/>
      <c r="AB1000" s="81"/>
      <c r="AC1000" s="81"/>
      <c r="AD1000" s="81"/>
      <c r="AE1000" s="81"/>
      <c r="AF1000" s="81"/>
      <c r="AG1000" s="81"/>
      <c r="AH1000" s="81"/>
      <c r="AI1000" s="81"/>
      <c r="AJ1000" s="81"/>
      <c r="AK1000" s="81"/>
      <c r="AL1000" s="81"/>
      <c r="AM1000" s="81"/>
    </row>
    <row collapsed="false" customFormat="false" customHeight="true" hidden="false" ht="16.2" outlineLevel="0" r="1001">
      <c r="A1001" s="80" t="n">
        <v>514</v>
      </c>
      <c r="B1001" s="81"/>
      <c r="C1001" s="82" t="s">
        <v>1033</v>
      </c>
      <c r="D1001" s="85"/>
      <c r="E1001" s="83" t="s">
        <v>1035</v>
      </c>
      <c r="F1001" s="49" t="s">
        <v>1036</v>
      </c>
      <c r="G1001" s="85"/>
      <c r="H1001" s="85"/>
      <c r="I1001" s="85"/>
      <c r="J1001" s="85"/>
      <c r="K1001" s="85"/>
      <c r="L1001" s="85"/>
      <c r="M1001" s="81"/>
      <c r="N1001" s="81"/>
      <c r="O1001" s="96"/>
      <c r="P1001" s="81"/>
      <c r="Q1001" s="81"/>
      <c r="R1001" s="81"/>
      <c r="S1001" s="81"/>
      <c r="T1001" s="81"/>
      <c r="U1001" s="81"/>
      <c r="V1001" s="81"/>
      <c r="W1001" s="81"/>
      <c r="X1001" s="81"/>
      <c r="Y1001" s="81"/>
      <c r="Z1001" s="81"/>
      <c r="AA1001" s="81"/>
      <c r="AB1001" s="81"/>
      <c r="AC1001" s="81"/>
      <c r="AD1001" s="81"/>
      <c r="AE1001" s="81"/>
      <c r="AF1001" s="81"/>
      <c r="AG1001" s="81"/>
      <c r="AH1001" s="81"/>
      <c r="AI1001" s="81"/>
      <c r="AJ1001" s="81"/>
      <c r="AK1001" s="81"/>
      <c r="AL1001" s="81"/>
      <c r="AM1001" s="81"/>
    </row>
    <row collapsed="false" customFormat="false" customHeight="true" hidden="false" ht="16.2" outlineLevel="0" r="1002">
      <c r="A1002" s="80"/>
      <c r="B1002" s="81" t="s">
        <v>712</v>
      </c>
      <c r="C1002" s="85"/>
      <c r="D1002" s="85" t="s">
        <v>1054</v>
      </c>
      <c r="E1002" s="83" t="s">
        <v>1037</v>
      </c>
      <c r="F1002" s="49" t="s">
        <v>1036</v>
      </c>
      <c r="G1002" s="85" t="s">
        <v>1039</v>
      </c>
      <c r="H1002" s="85" t="n">
        <v>39</v>
      </c>
      <c r="I1002" s="85" t="n">
        <v>0</v>
      </c>
      <c r="J1002" s="85" t="n">
        <v>0</v>
      </c>
      <c r="K1002" s="85" t="s">
        <v>1041</v>
      </c>
      <c r="L1002" s="85" t="s">
        <v>1041</v>
      </c>
      <c r="M1002" s="81" t="n">
        <v>4686</v>
      </c>
      <c r="N1002" s="81"/>
      <c r="O1002" s="96"/>
      <c r="P1002" s="81"/>
      <c r="Q1002" s="81"/>
      <c r="R1002" s="81"/>
      <c r="S1002" s="81"/>
      <c r="T1002" s="81"/>
      <c r="U1002" s="81"/>
      <c r="V1002" s="81"/>
      <c r="W1002" s="81"/>
      <c r="X1002" s="81"/>
      <c r="Y1002" s="81"/>
      <c r="Z1002" s="81"/>
      <c r="AA1002" s="81"/>
      <c r="AB1002" s="81"/>
      <c r="AC1002" s="81"/>
      <c r="AD1002" s="81"/>
      <c r="AE1002" s="81"/>
      <c r="AF1002" s="81"/>
      <c r="AG1002" s="81"/>
      <c r="AH1002" s="81"/>
      <c r="AI1002" s="81"/>
      <c r="AJ1002" s="81"/>
      <c r="AK1002" s="81"/>
      <c r="AL1002" s="81"/>
      <c r="AM1002" s="81"/>
    </row>
    <row collapsed="false" customFormat="false" customHeight="true" hidden="false" ht="16.2" outlineLevel="0" r="1003">
      <c r="A1003" s="80" t="n">
        <v>515</v>
      </c>
      <c r="B1003" s="81"/>
      <c r="C1003" s="82" t="s">
        <v>1033</v>
      </c>
      <c r="D1003" s="85"/>
      <c r="E1003" s="83" t="s">
        <v>1035</v>
      </c>
      <c r="F1003" s="49" t="s">
        <v>1036</v>
      </c>
      <c r="G1003" s="85"/>
      <c r="H1003" s="85"/>
      <c r="I1003" s="85"/>
      <c r="J1003" s="85"/>
      <c r="K1003" s="85"/>
      <c r="L1003" s="85"/>
      <c r="M1003" s="81"/>
      <c r="N1003" s="81"/>
      <c r="O1003" s="96"/>
      <c r="P1003" s="81"/>
      <c r="Q1003" s="81"/>
      <c r="R1003" s="81"/>
      <c r="S1003" s="81"/>
      <c r="T1003" s="81"/>
      <c r="U1003" s="81"/>
      <c r="V1003" s="81"/>
      <c r="W1003" s="81"/>
      <c r="X1003" s="81"/>
      <c r="Y1003" s="81"/>
      <c r="Z1003" s="81"/>
      <c r="AA1003" s="81"/>
      <c r="AB1003" s="81"/>
      <c r="AC1003" s="81"/>
      <c r="AD1003" s="81"/>
      <c r="AE1003" s="81"/>
      <c r="AF1003" s="81"/>
      <c r="AG1003" s="81"/>
      <c r="AH1003" s="81"/>
      <c r="AI1003" s="81"/>
      <c r="AJ1003" s="81"/>
      <c r="AK1003" s="81"/>
      <c r="AL1003" s="81"/>
      <c r="AM1003" s="81"/>
    </row>
    <row collapsed="false" customFormat="false" customHeight="true" hidden="false" ht="16.2" outlineLevel="0" r="1004">
      <c r="A1004" s="80"/>
      <c r="B1004" s="81" t="s">
        <v>713</v>
      </c>
      <c r="C1004" s="85"/>
      <c r="D1004" s="85" t="s">
        <v>1054</v>
      </c>
      <c r="E1004" s="83" t="s">
        <v>1037</v>
      </c>
      <c r="F1004" s="49" t="s">
        <v>1036</v>
      </c>
      <c r="G1004" s="85" t="s">
        <v>1039</v>
      </c>
      <c r="H1004" s="85" t="n">
        <v>38</v>
      </c>
      <c r="I1004" s="85" t="n">
        <v>0</v>
      </c>
      <c r="J1004" s="85" t="n">
        <v>0</v>
      </c>
      <c r="K1004" s="85" t="s">
        <v>1041</v>
      </c>
      <c r="L1004" s="85" t="s">
        <v>1041</v>
      </c>
      <c r="M1004" s="81" t="n">
        <v>1338</v>
      </c>
      <c r="N1004" s="81"/>
      <c r="O1004" s="96"/>
      <c r="P1004" s="81"/>
      <c r="Q1004" s="81"/>
      <c r="R1004" s="81"/>
      <c r="S1004" s="81"/>
      <c r="T1004" s="81"/>
      <c r="U1004" s="81"/>
      <c r="V1004" s="81"/>
      <c r="W1004" s="81"/>
      <c r="X1004" s="81"/>
      <c r="Y1004" s="81"/>
      <c r="Z1004" s="81"/>
      <c r="AA1004" s="81"/>
      <c r="AB1004" s="81"/>
      <c r="AC1004" s="81"/>
      <c r="AD1004" s="81"/>
      <c r="AE1004" s="81"/>
      <c r="AF1004" s="81"/>
      <c r="AG1004" s="81"/>
      <c r="AH1004" s="81"/>
      <c r="AI1004" s="81"/>
      <c r="AJ1004" s="81"/>
      <c r="AK1004" s="81"/>
      <c r="AL1004" s="81"/>
      <c r="AM1004" s="81"/>
    </row>
    <row collapsed="false" customFormat="false" customHeight="true" hidden="false" ht="16.2" outlineLevel="0" r="1005">
      <c r="A1005" s="80" t="n">
        <v>516</v>
      </c>
      <c r="B1005" s="81"/>
      <c r="C1005" s="82" t="s">
        <v>1033</v>
      </c>
      <c r="D1005" s="85"/>
      <c r="E1005" s="83" t="s">
        <v>1035</v>
      </c>
      <c r="F1005" s="49" t="s">
        <v>1036</v>
      </c>
      <c r="G1005" s="85"/>
      <c r="H1005" s="85"/>
      <c r="I1005" s="85"/>
      <c r="J1005" s="85"/>
      <c r="K1005" s="85"/>
      <c r="L1005" s="85"/>
      <c r="M1005" s="81"/>
      <c r="N1005" s="81"/>
      <c r="O1005" s="96"/>
      <c r="P1005" s="81"/>
      <c r="Q1005" s="81"/>
      <c r="R1005" s="81"/>
      <c r="S1005" s="81"/>
      <c r="T1005" s="81"/>
      <c r="U1005" s="81"/>
      <c r="V1005" s="81"/>
      <c r="W1005" s="81"/>
      <c r="X1005" s="81"/>
      <c r="Y1005" s="81"/>
      <c r="Z1005" s="81"/>
      <c r="AA1005" s="81"/>
      <c r="AB1005" s="81"/>
      <c r="AC1005" s="81"/>
      <c r="AD1005" s="81"/>
      <c r="AE1005" s="81"/>
      <c r="AF1005" s="81"/>
      <c r="AG1005" s="81"/>
      <c r="AH1005" s="81"/>
      <c r="AI1005" s="81"/>
      <c r="AJ1005" s="81"/>
      <c r="AK1005" s="81"/>
      <c r="AL1005" s="81"/>
      <c r="AM1005" s="81"/>
    </row>
    <row collapsed="false" customFormat="false" customHeight="true" hidden="false" ht="16.2" outlineLevel="0" r="1006">
      <c r="A1006" s="80"/>
      <c r="B1006" s="81" t="s">
        <v>714</v>
      </c>
      <c r="C1006" s="85"/>
      <c r="D1006" s="85" t="s">
        <v>1054</v>
      </c>
      <c r="E1006" s="83" t="s">
        <v>1037</v>
      </c>
      <c r="F1006" s="49" t="s">
        <v>1036</v>
      </c>
      <c r="G1006" s="85" t="s">
        <v>1039</v>
      </c>
      <c r="H1006" s="85" t="n">
        <v>8</v>
      </c>
      <c r="I1006" s="85" t="s">
        <v>1046</v>
      </c>
      <c r="J1006" s="85" t="n">
        <v>1</v>
      </c>
      <c r="K1006" s="85" t="s">
        <v>1041</v>
      </c>
      <c r="L1006" s="85" t="s">
        <v>1041</v>
      </c>
      <c r="M1006" s="81" t="n">
        <v>540</v>
      </c>
      <c r="N1006" s="81"/>
      <c r="O1006" s="96"/>
      <c r="P1006" s="81"/>
      <c r="Q1006" s="81"/>
      <c r="R1006" s="81"/>
      <c r="S1006" s="81"/>
      <c r="T1006" s="81"/>
      <c r="U1006" s="81"/>
      <c r="V1006" s="81"/>
      <c r="W1006" s="81"/>
      <c r="X1006" s="81"/>
      <c r="Y1006" s="81"/>
      <c r="Z1006" s="81"/>
      <c r="AA1006" s="81"/>
      <c r="AB1006" s="81"/>
      <c r="AC1006" s="81"/>
      <c r="AD1006" s="81"/>
      <c r="AE1006" s="81"/>
      <c r="AF1006" s="81"/>
      <c r="AG1006" s="81"/>
      <c r="AH1006" s="81"/>
      <c r="AI1006" s="81"/>
      <c r="AJ1006" s="81"/>
      <c r="AK1006" s="81"/>
      <c r="AL1006" s="81"/>
      <c r="AM1006" s="81"/>
    </row>
    <row collapsed="false" customFormat="false" customHeight="true" hidden="false" ht="16.2" outlineLevel="0" r="1007">
      <c r="A1007" s="80" t="n">
        <v>517</v>
      </c>
      <c r="B1007" s="81"/>
      <c r="C1007" s="82" t="s">
        <v>1033</v>
      </c>
      <c r="D1007" s="85"/>
      <c r="E1007" s="83" t="s">
        <v>1035</v>
      </c>
      <c r="F1007" s="49" t="s">
        <v>1036</v>
      </c>
      <c r="G1007" s="85"/>
      <c r="H1007" s="85"/>
      <c r="I1007" s="85"/>
      <c r="J1007" s="85"/>
      <c r="K1007" s="85"/>
      <c r="L1007" s="85"/>
      <c r="M1007" s="81"/>
      <c r="N1007" s="81"/>
      <c r="O1007" s="96"/>
      <c r="P1007" s="81"/>
      <c r="Q1007" s="81"/>
      <c r="R1007" s="81"/>
      <c r="S1007" s="81"/>
      <c r="T1007" s="81"/>
      <c r="U1007" s="81"/>
      <c r="V1007" s="81"/>
      <c r="W1007" s="81"/>
      <c r="X1007" s="81"/>
      <c r="Y1007" s="81"/>
      <c r="Z1007" s="81"/>
      <c r="AA1007" s="81"/>
      <c r="AB1007" s="81"/>
      <c r="AC1007" s="81"/>
      <c r="AD1007" s="81"/>
      <c r="AE1007" s="81"/>
      <c r="AF1007" s="81"/>
      <c r="AG1007" s="81"/>
      <c r="AH1007" s="81"/>
      <c r="AI1007" s="81"/>
      <c r="AJ1007" s="81"/>
      <c r="AK1007" s="81"/>
      <c r="AL1007" s="81"/>
      <c r="AM1007" s="81"/>
    </row>
    <row collapsed="false" customFormat="false" customHeight="true" hidden="false" ht="16.2" outlineLevel="0" r="1008">
      <c r="A1008" s="80"/>
      <c r="B1008" s="81" t="s">
        <v>715</v>
      </c>
      <c r="C1008" s="85"/>
      <c r="D1008" s="85" t="s">
        <v>1054</v>
      </c>
      <c r="E1008" s="83" t="s">
        <v>1037</v>
      </c>
      <c r="F1008" s="49" t="s">
        <v>1036</v>
      </c>
      <c r="G1008" s="85" t="s">
        <v>1039</v>
      </c>
      <c r="H1008" s="85" t="n">
        <v>6</v>
      </c>
      <c r="I1008" s="85" t="s">
        <v>1046</v>
      </c>
      <c r="J1008" s="85" t="n">
        <v>2</v>
      </c>
      <c r="K1008" s="85" t="s">
        <v>1041</v>
      </c>
      <c r="L1008" s="85" t="s">
        <v>1041</v>
      </c>
      <c r="M1008" s="81" t="n">
        <v>1140</v>
      </c>
      <c r="N1008" s="81"/>
      <c r="O1008" s="96"/>
      <c r="P1008" s="81"/>
      <c r="Q1008" s="81"/>
      <c r="R1008" s="81"/>
      <c r="S1008" s="81"/>
      <c r="T1008" s="81"/>
      <c r="U1008" s="81"/>
      <c r="V1008" s="81"/>
      <c r="W1008" s="81"/>
      <c r="X1008" s="81"/>
      <c r="Y1008" s="81"/>
      <c r="Z1008" s="81"/>
      <c r="AA1008" s="81"/>
      <c r="AB1008" s="81"/>
      <c r="AC1008" s="81"/>
      <c r="AD1008" s="81"/>
      <c r="AE1008" s="81"/>
      <c r="AF1008" s="81"/>
      <c r="AG1008" s="81"/>
      <c r="AH1008" s="81"/>
      <c r="AI1008" s="81"/>
      <c r="AJ1008" s="81"/>
      <c r="AK1008" s="81"/>
      <c r="AL1008" s="81"/>
      <c r="AM1008" s="81"/>
    </row>
    <row collapsed="false" customFormat="false" customHeight="true" hidden="false" ht="16.2" outlineLevel="0" r="1009">
      <c r="A1009" s="80" t="n">
        <v>518</v>
      </c>
      <c r="B1009" s="81"/>
      <c r="C1009" s="82" t="s">
        <v>1033</v>
      </c>
      <c r="D1009" s="85"/>
      <c r="E1009" s="83" t="s">
        <v>1035</v>
      </c>
      <c r="F1009" s="49" t="s">
        <v>1036</v>
      </c>
      <c r="G1009" s="85"/>
      <c r="H1009" s="85"/>
      <c r="I1009" s="85"/>
      <c r="J1009" s="85"/>
      <c r="K1009" s="85"/>
      <c r="L1009" s="85"/>
      <c r="M1009" s="81"/>
      <c r="N1009" s="81"/>
      <c r="O1009" s="96"/>
      <c r="P1009" s="81"/>
      <c r="Q1009" s="81"/>
      <c r="R1009" s="81"/>
      <c r="S1009" s="81"/>
      <c r="T1009" s="81"/>
      <c r="U1009" s="81"/>
      <c r="V1009" s="81"/>
      <c r="W1009" s="81"/>
      <c r="X1009" s="81"/>
      <c r="Y1009" s="81"/>
      <c r="Z1009" s="81"/>
      <c r="AA1009" s="81"/>
      <c r="AB1009" s="81"/>
      <c r="AC1009" s="81"/>
      <c r="AD1009" s="81"/>
      <c r="AE1009" s="81"/>
      <c r="AF1009" s="81"/>
      <c r="AG1009" s="81"/>
      <c r="AH1009" s="81"/>
      <c r="AI1009" s="81"/>
      <c r="AJ1009" s="81"/>
      <c r="AK1009" s="81"/>
      <c r="AL1009" s="81"/>
      <c r="AM1009" s="81"/>
    </row>
    <row collapsed="false" customFormat="false" customHeight="true" hidden="false" ht="16.2" outlineLevel="0" r="1010">
      <c r="A1010" s="80"/>
      <c r="B1010" s="81" t="s">
        <v>134</v>
      </c>
      <c r="C1010" s="85"/>
      <c r="D1010" s="85" t="s">
        <v>1054</v>
      </c>
      <c r="E1010" s="83" t="s">
        <v>1037</v>
      </c>
      <c r="F1010" s="49" t="s">
        <v>1036</v>
      </c>
      <c r="G1010" s="85" t="s">
        <v>1039</v>
      </c>
      <c r="H1010" s="85" t="n">
        <v>10</v>
      </c>
      <c r="I1010" s="85" t="n">
        <v>0</v>
      </c>
      <c r="J1010" s="85" t="n">
        <v>0</v>
      </c>
      <c r="K1010" s="85" t="s">
        <v>1041</v>
      </c>
      <c r="L1010" s="85" t="s">
        <v>1041</v>
      </c>
      <c r="M1010" s="81"/>
      <c r="N1010" s="81"/>
      <c r="O1010" s="96"/>
      <c r="P1010" s="81"/>
      <c r="Q1010" s="81"/>
      <c r="R1010" s="81"/>
      <c r="S1010" s="81"/>
      <c r="T1010" s="81"/>
      <c r="U1010" s="81"/>
      <c r="V1010" s="81"/>
      <c r="W1010" s="81"/>
      <c r="X1010" s="81"/>
      <c r="Y1010" s="81"/>
      <c r="Z1010" s="81"/>
      <c r="AA1010" s="81"/>
      <c r="AB1010" s="81"/>
      <c r="AC1010" s="81"/>
      <c r="AD1010" s="81"/>
      <c r="AE1010" s="81"/>
      <c r="AF1010" s="81"/>
      <c r="AG1010" s="81"/>
      <c r="AH1010" s="81"/>
      <c r="AI1010" s="81"/>
      <c r="AJ1010" s="81"/>
      <c r="AK1010" s="81"/>
      <c r="AL1010" s="81"/>
      <c r="AM1010" s="81"/>
    </row>
    <row collapsed="false" customFormat="false" customHeight="true" hidden="false" ht="16.2" outlineLevel="0" r="1011">
      <c r="A1011" s="80" t="n">
        <v>519</v>
      </c>
      <c r="B1011" s="81"/>
      <c r="C1011" s="82" t="s">
        <v>1033</v>
      </c>
      <c r="D1011" s="85"/>
      <c r="E1011" s="83" t="s">
        <v>1035</v>
      </c>
      <c r="F1011" s="49" t="s">
        <v>1036</v>
      </c>
      <c r="G1011" s="85"/>
      <c r="H1011" s="85"/>
      <c r="I1011" s="85"/>
      <c r="J1011" s="85"/>
      <c r="K1011" s="85"/>
      <c r="L1011" s="85"/>
      <c r="M1011" s="81"/>
      <c r="N1011" s="81"/>
      <c r="O1011" s="96"/>
      <c r="P1011" s="81"/>
      <c r="Q1011" s="81"/>
      <c r="R1011" s="81"/>
      <c r="S1011" s="81"/>
      <c r="T1011" s="81"/>
      <c r="U1011" s="81"/>
      <c r="V1011" s="81"/>
      <c r="W1011" s="81"/>
      <c r="X1011" s="81"/>
      <c r="Y1011" s="81"/>
      <c r="Z1011" s="81"/>
      <c r="AA1011" s="81"/>
      <c r="AB1011" s="81"/>
      <c r="AC1011" s="81"/>
      <c r="AD1011" s="81"/>
      <c r="AE1011" s="81"/>
      <c r="AF1011" s="81"/>
      <c r="AG1011" s="81"/>
      <c r="AH1011" s="81"/>
      <c r="AI1011" s="81"/>
      <c r="AJ1011" s="81"/>
      <c r="AK1011" s="81"/>
      <c r="AL1011" s="81"/>
      <c r="AM1011" s="81"/>
    </row>
    <row collapsed="false" customFormat="false" customHeight="true" hidden="false" ht="16.2" outlineLevel="0" r="1012">
      <c r="A1012" s="80"/>
      <c r="B1012" s="81" t="s">
        <v>230</v>
      </c>
      <c r="C1012" s="85"/>
      <c r="D1012" s="85" t="s">
        <v>1054</v>
      </c>
      <c r="E1012" s="83" t="s">
        <v>1037</v>
      </c>
      <c r="F1012" s="49" t="s">
        <v>1036</v>
      </c>
      <c r="G1012" s="85" t="s">
        <v>1039</v>
      </c>
      <c r="H1012" s="85" t="n">
        <v>10</v>
      </c>
      <c r="I1012" s="85" t="n">
        <v>0</v>
      </c>
      <c r="J1012" s="85" t="n">
        <v>0</v>
      </c>
      <c r="K1012" s="85" t="s">
        <v>1041</v>
      </c>
      <c r="L1012" s="85" t="s">
        <v>1041</v>
      </c>
      <c r="M1012" s="81"/>
      <c r="N1012" s="81"/>
      <c r="O1012" s="96"/>
      <c r="P1012" s="81"/>
      <c r="Q1012" s="81"/>
      <c r="R1012" s="81"/>
      <c r="S1012" s="81"/>
      <c r="T1012" s="81"/>
      <c r="U1012" s="81"/>
      <c r="V1012" s="81"/>
      <c r="W1012" s="81"/>
      <c r="X1012" s="81"/>
      <c r="Y1012" s="81"/>
      <c r="Z1012" s="81"/>
      <c r="AA1012" s="81"/>
      <c r="AB1012" s="81"/>
      <c r="AC1012" s="81"/>
      <c r="AD1012" s="81"/>
      <c r="AE1012" s="81"/>
      <c r="AF1012" s="81"/>
      <c r="AG1012" s="81"/>
      <c r="AH1012" s="81"/>
      <c r="AI1012" s="81"/>
      <c r="AJ1012" s="81"/>
      <c r="AK1012" s="81"/>
      <c r="AL1012" s="81"/>
      <c r="AM1012" s="81"/>
    </row>
    <row collapsed="false" customFormat="false" customHeight="true" hidden="false" ht="16.2" outlineLevel="0" r="1013">
      <c r="A1013" s="80" t="n">
        <v>520</v>
      </c>
      <c r="B1013" s="81"/>
      <c r="C1013" s="82" t="s">
        <v>1033</v>
      </c>
      <c r="D1013" s="85"/>
      <c r="E1013" s="83" t="s">
        <v>1035</v>
      </c>
      <c r="F1013" s="49" t="s">
        <v>1036</v>
      </c>
      <c r="G1013" s="85"/>
      <c r="H1013" s="85"/>
      <c r="I1013" s="85"/>
      <c r="J1013" s="85"/>
      <c r="K1013" s="85"/>
      <c r="L1013" s="85"/>
      <c r="M1013" s="81"/>
      <c r="N1013" s="81"/>
      <c r="O1013" s="96"/>
      <c r="P1013" s="81"/>
      <c r="Q1013" s="81"/>
      <c r="R1013" s="81"/>
      <c r="S1013" s="81"/>
      <c r="T1013" s="81"/>
      <c r="U1013" s="81"/>
      <c r="V1013" s="81"/>
      <c r="W1013" s="81"/>
      <c r="X1013" s="81"/>
      <c r="Y1013" s="81"/>
      <c r="Z1013" s="81"/>
      <c r="AA1013" s="81"/>
      <c r="AB1013" s="81"/>
      <c r="AC1013" s="81"/>
      <c r="AD1013" s="81"/>
      <c r="AE1013" s="81"/>
      <c r="AF1013" s="81"/>
      <c r="AG1013" s="81"/>
      <c r="AH1013" s="81"/>
      <c r="AI1013" s="81"/>
      <c r="AJ1013" s="81"/>
      <c r="AK1013" s="81"/>
      <c r="AL1013" s="81"/>
      <c r="AM1013" s="81"/>
    </row>
    <row collapsed="false" customFormat="false" customHeight="true" hidden="false" ht="16.2" outlineLevel="0" r="1014">
      <c r="A1014" s="80"/>
      <c r="B1014" s="81" t="s">
        <v>716</v>
      </c>
      <c r="C1014" s="85"/>
      <c r="D1014" s="85" t="s">
        <v>1054</v>
      </c>
      <c r="E1014" s="83" t="s">
        <v>1037</v>
      </c>
      <c r="F1014" s="49" t="s">
        <v>1036</v>
      </c>
      <c r="G1014" s="85" t="s">
        <v>1039</v>
      </c>
      <c r="H1014" s="85" t="n">
        <v>8</v>
      </c>
      <c r="I1014" s="85" t="s">
        <v>1042</v>
      </c>
      <c r="J1014" s="85" t="n">
        <v>8</v>
      </c>
      <c r="K1014" s="85" t="s">
        <v>1041</v>
      </c>
      <c r="L1014" s="85" t="s">
        <v>1041</v>
      </c>
      <c r="M1014" s="81" t="n">
        <v>2496</v>
      </c>
      <c r="N1014" s="81"/>
      <c r="O1014" s="96"/>
      <c r="P1014" s="81"/>
      <c r="Q1014" s="81"/>
      <c r="R1014" s="81"/>
      <c r="S1014" s="81"/>
      <c r="T1014" s="81"/>
      <c r="U1014" s="81"/>
      <c r="V1014" s="81"/>
      <c r="W1014" s="81"/>
      <c r="X1014" s="81"/>
      <c r="Y1014" s="81"/>
      <c r="Z1014" s="81"/>
      <c r="AA1014" s="81"/>
      <c r="AB1014" s="81"/>
      <c r="AC1014" s="81"/>
      <c r="AD1014" s="81"/>
      <c r="AE1014" s="81"/>
      <c r="AF1014" s="81"/>
      <c r="AG1014" s="81"/>
      <c r="AH1014" s="81"/>
      <c r="AI1014" s="81"/>
      <c r="AJ1014" s="81"/>
      <c r="AK1014" s="81"/>
      <c r="AL1014" s="81"/>
      <c r="AM1014" s="81"/>
    </row>
    <row collapsed="false" customFormat="false" customHeight="true" hidden="false" ht="16.2" outlineLevel="0" r="1015">
      <c r="A1015" s="80" t="n">
        <v>521</v>
      </c>
      <c r="B1015" s="81"/>
      <c r="C1015" s="82" t="s">
        <v>1033</v>
      </c>
      <c r="D1015" s="85"/>
      <c r="E1015" s="83" t="s">
        <v>1035</v>
      </c>
      <c r="F1015" s="49" t="s">
        <v>1036</v>
      </c>
      <c r="G1015" s="85"/>
      <c r="H1015" s="85"/>
      <c r="I1015" s="85"/>
      <c r="J1015" s="85"/>
      <c r="K1015" s="85"/>
      <c r="L1015" s="85"/>
      <c r="M1015" s="81"/>
      <c r="N1015" s="81"/>
      <c r="O1015" s="96"/>
      <c r="P1015" s="81"/>
      <c r="Q1015" s="81"/>
      <c r="R1015" s="81"/>
      <c r="S1015" s="81"/>
      <c r="T1015" s="81"/>
      <c r="U1015" s="81"/>
      <c r="V1015" s="81"/>
      <c r="W1015" s="81"/>
      <c r="X1015" s="81"/>
      <c r="Y1015" s="81"/>
      <c r="Z1015" s="81"/>
      <c r="AA1015" s="81"/>
      <c r="AB1015" s="81"/>
      <c r="AC1015" s="81"/>
      <c r="AD1015" s="81"/>
      <c r="AE1015" s="81"/>
      <c r="AF1015" s="81"/>
      <c r="AG1015" s="81"/>
      <c r="AH1015" s="81"/>
      <c r="AI1015" s="81"/>
      <c r="AJ1015" s="81"/>
      <c r="AK1015" s="81"/>
      <c r="AL1015" s="81"/>
      <c r="AM1015" s="81"/>
    </row>
    <row collapsed="false" customFormat="false" customHeight="true" hidden="false" ht="16.2" outlineLevel="0" r="1016">
      <c r="A1016" s="80"/>
      <c r="B1016" s="81" t="s">
        <v>717</v>
      </c>
      <c r="C1016" s="85"/>
      <c r="D1016" s="85" t="s">
        <v>1054</v>
      </c>
      <c r="E1016" s="83" t="s">
        <v>1037</v>
      </c>
      <c r="F1016" s="49" t="s">
        <v>1036</v>
      </c>
      <c r="G1016" s="85" t="s">
        <v>1039</v>
      </c>
      <c r="H1016" s="85" t="n">
        <v>27</v>
      </c>
      <c r="I1016" s="85" t="s">
        <v>1039</v>
      </c>
      <c r="J1016" s="85" t="n">
        <v>4</v>
      </c>
      <c r="K1016" s="85" t="s">
        <v>1041</v>
      </c>
      <c r="L1016" s="85" t="s">
        <v>1041</v>
      </c>
      <c r="M1016" s="81" t="n">
        <v>4566</v>
      </c>
      <c r="N1016" s="81"/>
      <c r="O1016" s="96"/>
      <c r="P1016" s="81"/>
      <c r="Q1016" s="81"/>
      <c r="R1016" s="81"/>
      <c r="S1016" s="81"/>
      <c r="T1016" s="81"/>
      <c r="U1016" s="81"/>
      <c r="V1016" s="81"/>
      <c r="W1016" s="81"/>
      <c r="X1016" s="81"/>
      <c r="Y1016" s="81"/>
      <c r="Z1016" s="81"/>
      <c r="AA1016" s="81"/>
      <c r="AB1016" s="81"/>
      <c r="AC1016" s="81"/>
      <c r="AD1016" s="81"/>
      <c r="AE1016" s="81"/>
      <c r="AF1016" s="81"/>
      <c r="AG1016" s="81"/>
      <c r="AH1016" s="81"/>
      <c r="AI1016" s="81"/>
      <c r="AJ1016" s="81"/>
      <c r="AK1016" s="81"/>
      <c r="AL1016" s="81"/>
      <c r="AM1016" s="81"/>
    </row>
    <row collapsed="false" customFormat="false" customHeight="true" hidden="false" ht="16.2" outlineLevel="0" r="1017">
      <c r="A1017" s="80" t="n">
        <v>522</v>
      </c>
      <c r="B1017" s="81"/>
      <c r="C1017" s="82" t="s">
        <v>1033</v>
      </c>
      <c r="D1017" s="85"/>
      <c r="E1017" s="83" t="s">
        <v>1035</v>
      </c>
      <c r="F1017" s="49" t="s">
        <v>1036</v>
      </c>
      <c r="G1017" s="85"/>
      <c r="H1017" s="85"/>
      <c r="I1017" s="85"/>
      <c r="J1017" s="85"/>
      <c r="K1017" s="85"/>
      <c r="L1017" s="85"/>
      <c r="M1017" s="81"/>
      <c r="N1017" s="81"/>
      <c r="O1017" s="96"/>
      <c r="P1017" s="81"/>
      <c r="Q1017" s="81"/>
      <c r="R1017" s="81"/>
      <c r="S1017" s="81"/>
      <c r="T1017" s="81"/>
      <c r="U1017" s="81"/>
      <c r="V1017" s="81"/>
      <c r="W1017" s="81"/>
      <c r="X1017" s="81"/>
      <c r="Y1017" s="81"/>
      <c r="Z1017" s="81"/>
      <c r="AA1017" s="81"/>
      <c r="AB1017" s="81"/>
      <c r="AC1017" s="81"/>
      <c r="AD1017" s="81"/>
      <c r="AE1017" s="81"/>
      <c r="AF1017" s="81"/>
      <c r="AG1017" s="81"/>
      <c r="AH1017" s="81"/>
      <c r="AI1017" s="81"/>
      <c r="AJ1017" s="81"/>
      <c r="AK1017" s="81"/>
      <c r="AL1017" s="81"/>
      <c r="AM1017" s="81"/>
    </row>
    <row collapsed="false" customFormat="false" customHeight="true" hidden="false" ht="16.2" outlineLevel="0" r="1018">
      <c r="A1018" s="80"/>
      <c r="B1018" s="81" t="s">
        <v>718</v>
      </c>
      <c r="C1018" s="85"/>
      <c r="D1018" s="85" t="s">
        <v>1054</v>
      </c>
      <c r="E1018" s="83" t="s">
        <v>1037</v>
      </c>
      <c r="F1018" s="49" t="s">
        <v>1036</v>
      </c>
      <c r="G1018" s="85" t="s">
        <v>1039</v>
      </c>
      <c r="H1018" s="85" t="n">
        <v>24</v>
      </c>
      <c r="I1018" s="85" t="s">
        <v>1046</v>
      </c>
      <c r="J1018" s="85" t="n">
        <v>1</v>
      </c>
      <c r="K1018" s="85" t="s">
        <v>1041</v>
      </c>
      <c r="L1018" s="85" t="s">
        <v>1041</v>
      </c>
      <c r="M1018" s="81" t="n">
        <v>4734</v>
      </c>
      <c r="N1018" s="81"/>
      <c r="O1018" s="96"/>
      <c r="P1018" s="81"/>
      <c r="Q1018" s="81"/>
      <c r="R1018" s="81"/>
      <c r="S1018" s="81"/>
      <c r="T1018" s="81"/>
      <c r="U1018" s="81"/>
      <c r="V1018" s="81"/>
      <c r="W1018" s="81"/>
      <c r="X1018" s="81"/>
      <c r="Y1018" s="81"/>
      <c r="Z1018" s="81"/>
      <c r="AA1018" s="81"/>
      <c r="AB1018" s="81"/>
      <c r="AC1018" s="81"/>
      <c r="AD1018" s="81"/>
      <c r="AE1018" s="81"/>
      <c r="AF1018" s="81"/>
      <c r="AG1018" s="81"/>
      <c r="AH1018" s="81"/>
      <c r="AI1018" s="81"/>
      <c r="AJ1018" s="81"/>
      <c r="AK1018" s="81"/>
      <c r="AL1018" s="81"/>
      <c r="AM1018" s="81"/>
    </row>
    <row collapsed="false" customFormat="false" customHeight="true" hidden="false" ht="16.2" outlineLevel="0" r="1019">
      <c r="A1019" s="80" t="n">
        <v>523</v>
      </c>
      <c r="B1019" s="81"/>
      <c r="C1019" s="82" t="s">
        <v>1033</v>
      </c>
      <c r="D1019" s="85"/>
      <c r="E1019" s="83" t="s">
        <v>1035</v>
      </c>
      <c r="F1019" s="49" t="s">
        <v>1036</v>
      </c>
      <c r="G1019" s="85"/>
      <c r="H1019" s="85"/>
      <c r="I1019" s="85"/>
      <c r="J1019" s="85"/>
      <c r="K1019" s="85"/>
      <c r="L1019" s="85"/>
      <c r="M1019" s="81"/>
      <c r="N1019" s="81"/>
      <c r="O1019" s="96"/>
      <c r="P1019" s="81"/>
      <c r="Q1019" s="81"/>
      <c r="R1019" s="81"/>
      <c r="S1019" s="81"/>
      <c r="T1019" s="81"/>
      <c r="U1019" s="81"/>
      <c r="V1019" s="81"/>
      <c r="W1019" s="81"/>
      <c r="X1019" s="81"/>
      <c r="Y1019" s="81"/>
      <c r="Z1019" s="81"/>
      <c r="AA1019" s="81"/>
      <c r="AB1019" s="81"/>
      <c r="AC1019" s="81"/>
      <c r="AD1019" s="81"/>
      <c r="AE1019" s="81"/>
      <c r="AF1019" s="81"/>
      <c r="AG1019" s="81"/>
      <c r="AH1019" s="81"/>
      <c r="AI1019" s="81"/>
      <c r="AJ1019" s="81"/>
      <c r="AK1019" s="81"/>
      <c r="AL1019" s="81"/>
      <c r="AM1019" s="81"/>
    </row>
    <row collapsed="false" customFormat="false" customHeight="true" hidden="false" ht="16.2" outlineLevel="0" r="1020">
      <c r="A1020" s="80"/>
      <c r="B1020" s="81" t="s">
        <v>720</v>
      </c>
      <c r="C1020" s="85"/>
      <c r="D1020" s="85" t="s">
        <v>1054</v>
      </c>
      <c r="E1020" s="83" t="s">
        <v>1037</v>
      </c>
      <c r="F1020" s="49" t="s">
        <v>1036</v>
      </c>
      <c r="G1020" s="85" t="s">
        <v>1044</v>
      </c>
      <c r="H1020" s="85" t="n">
        <v>13</v>
      </c>
      <c r="I1020" s="85" t="s">
        <v>1044</v>
      </c>
      <c r="J1020" s="85" t="n">
        <v>4</v>
      </c>
      <c r="K1020" s="85" t="s">
        <v>1041</v>
      </c>
      <c r="L1020" s="85" t="s">
        <v>1041</v>
      </c>
      <c r="M1020" s="81" t="n">
        <v>36</v>
      </c>
      <c r="N1020" s="81"/>
      <c r="O1020" s="96"/>
      <c r="P1020" s="81"/>
      <c r="Q1020" s="81"/>
      <c r="R1020" s="81"/>
      <c r="S1020" s="81"/>
      <c r="T1020" s="81"/>
      <c r="U1020" s="81"/>
      <c r="V1020" s="81"/>
      <c r="W1020" s="81"/>
      <c r="X1020" s="81"/>
      <c r="Y1020" s="81"/>
      <c r="Z1020" s="81"/>
      <c r="AA1020" s="81"/>
      <c r="AB1020" s="81"/>
      <c r="AC1020" s="81"/>
      <c r="AD1020" s="81"/>
      <c r="AE1020" s="81"/>
      <c r="AF1020" s="81"/>
      <c r="AG1020" s="81"/>
      <c r="AH1020" s="81"/>
      <c r="AI1020" s="81"/>
      <c r="AJ1020" s="81"/>
      <c r="AK1020" s="81"/>
      <c r="AL1020" s="81"/>
      <c r="AM1020" s="81"/>
    </row>
    <row collapsed="false" customFormat="false" customHeight="true" hidden="false" ht="16.2" outlineLevel="0" r="1021">
      <c r="A1021" s="80" t="n">
        <v>524</v>
      </c>
      <c r="B1021" s="81"/>
      <c r="C1021" s="82" t="s">
        <v>1033</v>
      </c>
      <c r="D1021" s="85"/>
      <c r="E1021" s="83" t="s">
        <v>1035</v>
      </c>
      <c r="F1021" s="49" t="s">
        <v>1036</v>
      </c>
      <c r="G1021" s="85"/>
      <c r="H1021" s="85"/>
      <c r="I1021" s="85"/>
      <c r="J1021" s="85"/>
      <c r="K1021" s="85"/>
      <c r="L1021" s="85"/>
      <c r="M1021" s="81"/>
      <c r="N1021" s="81"/>
      <c r="O1021" s="96"/>
      <c r="P1021" s="81"/>
      <c r="Q1021" s="81"/>
      <c r="R1021" s="81"/>
      <c r="S1021" s="81"/>
      <c r="T1021" s="81"/>
      <c r="U1021" s="81"/>
      <c r="V1021" s="81"/>
      <c r="W1021" s="81"/>
      <c r="X1021" s="81"/>
      <c r="Y1021" s="81"/>
      <c r="Z1021" s="81"/>
      <c r="AA1021" s="81"/>
      <c r="AB1021" s="81"/>
      <c r="AC1021" s="81"/>
      <c r="AD1021" s="81"/>
      <c r="AE1021" s="81"/>
      <c r="AF1021" s="81"/>
      <c r="AG1021" s="81"/>
      <c r="AH1021" s="81"/>
      <c r="AI1021" s="81"/>
      <c r="AJ1021" s="81"/>
      <c r="AK1021" s="81"/>
      <c r="AL1021" s="81"/>
      <c r="AM1021" s="81"/>
    </row>
    <row collapsed="false" customFormat="false" customHeight="true" hidden="false" ht="16.2" outlineLevel="0" r="1022">
      <c r="A1022" s="80"/>
      <c r="B1022" s="81" t="s">
        <v>721</v>
      </c>
      <c r="C1022" s="85"/>
      <c r="D1022" s="85" t="s">
        <v>1054</v>
      </c>
      <c r="E1022" s="83" t="s">
        <v>1037</v>
      </c>
      <c r="F1022" s="49" t="s">
        <v>1036</v>
      </c>
      <c r="G1022" s="85" t="s">
        <v>1044</v>
      </c>
      <c r="H1022" s="85" t="n">
        <v>4</v>
      </c>
      <c r="I1022" s="85" t="s">
        <v>1044</v>
      </c>
      <c r="J1022" s="85" t="n">
        <v>2</v>
      </c>
      <c r="K1022" s="85" t="s">
        <v>1041</v>
      </c>
      <c r="L1022" s="85" t="s">
        <v>1041</v>
      </c>
      <c r="M1022" s="81"/>
      <c r="N1022" s="81"/>
      <c r="O1022" s="96"/>
      <c r="P1022" s="81"/>
      <c r="Q1022" s="81"/>
      <c r="R1022" s="81"/>
      <c r="S1022" s="81"/>
      <c r="T1022" s="81"/>
      <c r="U1022" s="81"/>
      <c r="V1022" s="81"/>
      <c r="W1022" s="81"/>
      <c r="X1022" s="81"/>
      <c r="Y1022" s="81"/>
      <c r="Z1022" s="81"/>
      <c r="AA1022" s="81"/>
      <c r="AB1022" s="81"/>
      <c r="AC1022" s="81"/>
      <c r="AD1022" s="81"/>
      <c r="AE1022" s="81"/>
      <c r="AF1022" s="81"/>
      <c r="AG1022" s="81"/>
      <c r="AH1022" s="81"/>
      <c r="AI1022" s="81"/>
      <c r="AJ1022" s="81"/>
      <c r="AK1022" s="81"/>
      <c r="AL1022" s="81"/>
      <c r="AM1022" s="81"/>
    </row>
    <row collapsed="false" customFormat="false" customHeight="true" hidden="false" ht="16.2" outlineLevel="0" r="1023">
      <c r="A1023" s="80" t="n">
        <v>525</v>
      </c>
      <c r="B1023" s="81"/>
      <c r="C1023" s="82" t="s">
        <v>1033</v>
      </c>
      <c r="D1023" s="85"/>
      <c r="E1023" s="83" t="s">
        <v>1035</v>
      </c>
      <c r="F1023" s="49" t="s">
        <v>1036</v>
      </c>
      <c r="G1023" s="85"/>
      <c r="H1023" s="85"/>
      <c r="I1023" s="85"/>
      <c r="J1023" s="85"/>
      <c r="K1023" s="85"/>
      <c r="L1023" s="85"/>
      <c r="M1023" s="81"/>
      <c r="N1023" s="81"/>
      <c r="O1023" s="96"/>
      <c r="P1023" s="81"/>
      <c r="Q1023" s="81"/>
      <c r="R1023" s="81"/>
      <c r="S1023" s="81"/>
      <c r="T1023" s="81"/>
      <c r="U1023" s="81"/>
      <c r="V1023" s="81"/>
      <c r="W1023" s="81"/>
      <c r="X1023" s="81"/>
      <c r="Y1023" s="81"/>
      <c r="Z1023" s="81"/>
      <c r="AA1023" s="81"/>
      <c r="AB1023" s="81"/>
      <c r="AC1023" s="81"/>
      <c r="AD1023" s="81"/>
      <c r="AE1023" s="81"/>
      <c r="AF1023" s="81"/>
      <c r="AG1023" s="81"/>
      <c r="AH1023" s="81"/>
      <c r="AI1023" s="81"/>
      <c r="AJ1023" s="81"/>
      <c r="AK1023" s="81"/>
      <c r="AL1023" s="81"/>
      <c r="AM1023" s="81"/>
    </row>
    <row collapsed="false" customFormat="false" customHeight="true" hidden="false" ht="16.2" outlineLevel="0" r="1024">
      <c r="A1024" s="80"/>
      <c r="B1024" s="81" t="s">
        <v>722</v>
      </c>
      <c r="C1024" s="85"/>
      <c r="D1024" s="85" t="s">
        <v>1054</v>
      </c>
      <c r="E1024" s="83" t="s">
        <v>1037</v>
      </c>
      <c r="F1024" s="49" t="s">
        <v>1036</v>
      </c>
      <c r="G1024" s="85" t="s">
        <v>1044</v>
      </c>
      <c r="H1024" s="85" t="n">
        <v>2</v>
      </c>
      <c r="I1024" s="85" t="s">
        <v>1044</v>
      </c>
      <c r="J1024" s="85" t="n">
        <v>2</v>
      </c>
      <c r="K1024" s="85" t="s">
        <v>1041</v>
      </c>
      <c r="L1024" s="85" t="s">
        <v>1041</v>
      </c>
      <c r="M1024" s="81"/>
      <c r="N1024" s="81"/>
      <c r="O1024" s="96"/>
      <c r="P1024" s="81"/>
      <c r="Q1024" s="81"/>
      <c r="R1024" s="81"/>
      <c r="S1024" s="81"/>
      <c r="T1024" s="81"/>
      <c r="U1024" s="81"/>
      <c r="V1024" s="81"/>
      <c r="W1024" s="81"/>
      <c r="X1024" s="81"/>
      <c r="Y1024" s="81"/>
      <c r="Z1024" s="81"/>
      <c r="AA1024" s="81"/>
      <c r="AB1024" s="81"/>
      <c r="AC1024" s="81"/>
      <c r="AD1024" s="81"/>
      <c r="AE1024" s="81"/>
      <c r="AF1024" s="81"/>
      <c r="AG1024" s="81"/>
      <c r="AH1024" s="81"/>
      <c r="AI1024" s="81"/>
      <c r="AJ1024" s="81"/>
      <c r="AK1024" s="81"/>
      <c r="AL1024" s="81"/>
      <c r="AM1024" s="81"/>
    </row>
    <row collapsed="false" customFormat="false" customHeight="true" hidden="false" ht="16.2" outlineLevel="0" r="1025">
      <c r="A1025" s="80" t="n">
        <v>526</v>
      </c>
      <c r="B1025" s="81"/>
      <c r="C1025" s="82" t="s">
        <v>1033</v>
      </c>
      <c r="D1025" s="85"/>
      <c r="E1025" s="83" t="s">
        <v>1035</v>
      </c>
      <c r="F1025" s="49" t="s">
        <v>1036</v>
      </c>
      <c r="G1025" s="85"/>
      <c r="H1025" s="85"/>
      <c r="I1025" s="85"/>
      <c r="J1025" s="85"/>
      <c r="K1025" s="85"/>
      <c r="L1025" s="85"/>
      <c r="M1025" s="81"/>
      <c r="N1025" s="81"/>
      <c r="O1025" s="96"/>
      <c r="P1025" s="81"/>
      <c r="Q1025" s="81"/>
      <c r="R1025" s="81"/>
      <c r="S1025" s="81"/>
      <c r="T1025" s="81"/>
      <c r="U1025" s="81"/>
      <c r="V1025" s="81"/>
      <c r="W1025" s="81"/>
      <c r="X1025" s="81"/>
      <c r="Y1025" s="81"/>
      <c r="Z1025" s="81"/>
      <c r="AA1025" s="81"/>
      <c r="AB1025" s="81"/>
      <c r="AC1025" s="81"/>
      <c r="AD1025" s="81"/>
      <c r="AE1025" s="81"/>
      <c r="AF1025" s="81"/>
      <c r="AG1025" s="81"/>
      <c r="AH1025" s="81"/>
      <c r="AI1025" s="81"/>
      <c r="AJ1025" s="81"/>
      <c r="AK1025" s="81"/>
      <c r="AL1025" s="81"/>
      <c r="AM1025" s="81"/>
    </row>
    <row collapsed="false" customFormat="false" customHeight="true" hidden="false" ht="16.2" outlineLevel="0" r="1026">
      <c r="A1026" s="80"/>
      <c r="B1026" s="81" t="s">
        <v>723</v>
      </c>
      <c r="C1026" s="85"/>
      <c r="D1026" s="85" t="s">
        <v>1054</v>
      </c>
      <c r="E1026" s="83" t="s">
        <v>1037</v>
      </c>
      <c r="F1026" s="49" t="s">
        <v>1036</v>
      </c>
      <c r="G1026" s="85" t="s">
        <v>1044</v>
      </c>
      <c r="H1026" s="85" t="n">
        <v>3</v>
      </c>
      <c r="I1026" s="85" t="s">
        <v>1044</v>
      </c>
      <c r="J1026" s="85" t="n">
        <v>2</v>
      </c>
      <c r="K1026" s="85" t="s">
        <v>1041</v>
      </c>
      <c r="L1026" s="85" t="s">
        <v>1041</v>
      </c>
      <c r="M1026" s="81" t="n">
        <v>54</v>
      </c>
      <c r="N1026" s="81"/>
      <c r="O1026" s="96"/>
      <c r="P1026" s="81"/>
      <c r="Q1026" s="81"/>
      <c r="R1026" s="81"/>
      <c r="S1026" s="81"/>
      <c r="T1026" s="81"/>
      <c r="U1026" s="81"/>
      <c r="V1026" s="81"/>
      <c r="W1026" s="81"/>
      <c r="X1026" s="81"/>
      <c r="Y1026" s="81"/>
      <c r="Z1026" s="81"/>
      <c r="AA1026" s="81"/>
      <c r="AB1026" s="81"/>
      <c r="AC1026" s="81"/>
      <c r="AD1026" s="81"/>
      <c r="AE1026" s="81"/>
      <c r="AF1026" s="81"/>
      <c r="AG1026" s="81"/>
      <c r="AH1026" s="81"/>
      <c r="AI1026" s="81"/>
      <c r="AJ1026" s="81"/>
      <c r="AK1026" s="81"/>
      <c r="AL1026" s="81"/>
      <c r="AM1026" s="81"/>
    </row>
    <row collapsed="false" customFormat="false" customHeight="true" hidden="false" ht="16.2" outlineLevel="0" r="1027">
      <c r="A1027" s="80" t="n">
        <v>527</v>
      </c>
      <c r="B1027" s="81"/>
      <c r="C1027" s="82" t="s">
        <v>1033</v>
      </c>
      <c r="D1027" s="85"/>
      <c r="E1027" s="83" t="s">
        <v>1035</v>
      </c>
      <c r="F1027" s="49" t="s">
        <v>1036</v>
      </c>
      <c r="G1027" s="85"/>
      <c r="H1027" s="85"/>
      <c r="I1027" s="85"/>
      <c r="J1027" s="85"/>
      <c r="K1027" s="85"/>
      <c r="L1027" s="85"/>
      <c r="M1027" s="81"/>
      <c r="N1027" s="81"/>
      <c r="O1027" s="96"/>
      <c r="P1027" s="81"/>
      <c r="Q1027" s="81"/>
      <c r="R1027" s="81"/>
      <c r="S1027" s="81"/>
      <c r="T1027" s="81"/>
      <c r="U1027" s="81"/>
      <c r="V1027" s="81"/>
      <c r="W1027" s="81"/>
      <c r="X1027" s="81"/>
      <c r="Y1027" s="81"/>
      <c r="Z1027" s="81"/>
      <c r="AA1027" s="81"/>
      <c r="AB1027" s="81"/>
      <c r="AC1027" s="81"/>
      <c r="AD1027" s="81"/>
      <c r="AE1027" s="81"/>
      <c r="AF1027" s="81"/>
      <c r="AG1027" s="81"/>
      <c r="AH1027" s="81"/>
      <c r="AI1027" s="81"/>
      <c r="AJ1027" s="81"/>
      <c r="AK1027" s="81"/>
      <c r="AL1027" s="81"/>
      <c r="AM1027" s="81"/>
    </row>
    <row collapsed="false" customFormat="false" customHeight="true" hidden="false" ht="16.2" outlineLevel="0" r="1028">
      <c r="A1028" s="80"/>
      <c r="B1028" s="81" t="s">
        <v>724</v>
      </c>
      <c r="C1028" s="85"/>
      <c r="D1028" s="85" t="s">
        <v>1054</v>
      </c>
      <c r="E1028" s="83" t="s">
        <v>1037</v>
      </c>
      <c r="F1028" s="49" t="s">
        <v>1036</v>
      </c>
      <c r="G1028" s="85" t="s">
        <v>1044</v>
      </c>
      <c r="H1028" s="85" t="n">
        <v>4</v>
      </c>
      <c r="I1028" s="85" t="s">
        <v>1044</v>
      </c>
      <c r="J1028" s="85" t="n">
        <v>2</v>
      </c>
      <c r="K1028" s="85" t="s">
        <v>1041</v>
      </c>
      <c r="L1028" s="85" t="s">
        <v>1041</v>
      </c>
      <c r="M1028" s="81"/>
      <c r="N1028" s="81"/>
      <c r="O1028" s="96"/>
      <c r="P1028" s="81"/>
      <c r="Q1028" s="81"/>
      <c r="R1028" s="81"/>
      <c r="S1028" s="81"/>
      <c r="T1028" s="81"/>
      <c r="U1028" s="81"/>
      <c r="V1028" s="81"/>
      <c r="W1028" s="81"/>
      <c r="X1028" s="81"/>
      <c r="Y1028" s="81"/>
      <c r="Z1028" s="81"/>
      <c r="AA1028" s="81"/>
      <c r="AB1028" s="81"/>
      <c r="AC1028" s="81"/>
      <c r="AD1028" s="81"/>
      <c r="AE1028" s="81"/>
      <c r="AF1028" s="81"/>
      <c r="AG1028" s="81"/>
      <c r="AH1028" s="81"/>
      <c r="AI1028" s="81"/>
      <c r="AJ1028" s="81"/>
      <c r="AK1028" s="81"/>
      <c r="AL1028" s="81"/>
      <c r="AM1028" s="81"/>
    </row>
    <row collapsed="false" customFormat="false" customHeight="true" hidden="false" ht="16.2" outlineLevel="0" r="1029">
      <c r="A1029" s="80" t="n">
        <v>528</v>
      </c>
      <c r="B1029" s="81"/>
      <c r="C1029" s="82" t="s">
        <v>1033</v>
      </c>
      <c r="D1029" s="85"/>
      <c r="E1029" s="83" t="s">
        <v>1035</v>
      </c>
      <c r="F1029" s="49" t="s">
        <v>1036</v>
      </c>
      <c r="G1029" s="85"/>
      <c r="H1029" s="85"/>
      <c r="I1029" s="85"/>
      <c r="J1029" s="85"/>
      <c r="K1029" s="85"/>
      <c r="L1029" s="85"/>
      <c r="M1029" s="81"/>
      <c r="N1029" s="81"/>
      <c r="O1029" s="96"/>
      <c r="P1029" s="81"/>
      <c r="Q1029" s="81"/>
      <c r="R1029" s="81"/>
      <c r="S1029" s="81"/>
      <c r="T1029" s="81"/>
      <c r="U1029" s="81"/>
      <c r="V1029" s="81"/>
      <c r="W1029" s="81"/>
      <c r="X1029" s="81"/>
      <c r="Y1029" s="81"/>
      <c r="Z1029" s="81"/>
      <c r="AA1029" s="81"/>
      <c r="AB1029" s="81"/>
      <c r="AC1029" s="81"/>
      <c r="AD1029" s="81"/>
      <c r="AE1029" s="81"/>
      <c r="AF1029" s="81"/>
      <c r="AG1029" s="81"/>
      <c r="AH1029" s="81"/>
      <c r="AI1029" s="81"/>
      <c r="AJ1029" s="81"/>
      <c r="AK1029" s="81"/>
      <c r="AL1029" s="81"/>
      <c r="AM1029" s="81"/>
    </row>
    <row collapsed="false" customFormat="false" customHeight="true" hidden="false" ht="16.2" outlineLevel="0" r="1030">
      <c r="A1030" s="80"/>
      <c r="B1030" s="81" t="s">
        <v>725</v>
      </c>
      <c r="C1030" s="85"/>
      <c r="D1030" s="85" t="s">
        <v>1054</v>
      </c>
      <c r="E1030" s="83" t="s">
        <v>1037</v>
      </c>
      <c r="F1030" s="49" t="s">
        <v>1036</v>
      </c>
      <c r="G1030" s="85" t="s">
        <v>1044</v>
      </c>
      <c r="H1030" s="85" t="n">
        <v>3</v>
      </c>
      <c r="I1030" s="85" t="s">
        <v>1044</v>
      </c>
      <c r="J1030" s="85" t="n">
        <v>3</v>
      </c>
      <c r="K1030" s="85" t="s">
        <v>1041</v>
      </c>
      <c r="L1030" s="85" t="s">
        <v>1041</v>
      </c>
      <c r="M1030" s="81" t="n">
        <v>1362</v>
      </c>
      <c r="N1030" s="81"/>
      <c r="O1030" s="96"/>
      <c r="P1030" s="81"/>
      <c r="Q1030" s="81"/>
      <c r="R1030" s="81"/>
      <c r="S1030" s="81"/>
      <c r="T1030" s="81"/>
      <c r="U1030" s="81"/>
      <c r="V1030" s="81"/>
      <c r="W1030" s="81"/>
      <c r="X1030" s="81"/>
      <c r="Y1030" s="81"/>
      <c r="Z1030" s="81"/>
      <c r="AA1030" s="81"/>
      <c r="AB1030" s="81"/>
      <c r="AC1030" s="81"/>
      <c r="AD1030" s="81"/>
      <c r="AE1030" s="81"/>
      <c r="AF1030" s="81"/>
      <c r="AG1030" s="81"/>
      <c r="AH1030" s="81"/>
      <c r="AI1030" s="81"/>
      <c r="AJ1030" s="81"/>
      <c r="AK1030" s="81"/>
      <c r="AL1030" s="81"/>
      <c r="AM1030" s="81"/>
    </row>
    <row collapsed="false" customFormat="false" customHeight="true" hidden="false" ht="16.2" outlineLevel="0" r="1031">
      <c r="A1031" s="80" t="n">
        <v>529</v>
      </c>
      <c r="B1031" s="81" t="s">
        <v>727</v>
      </c>
      <c r="C1031" s="82" t="s">
        <v>1033</v>
      </c>
      <c r="D1031" s="82" t="s">
        <v>1034</v>
      </c>
      <c r="E1031" s="83" t="s">
        <v>1035</v>
      </c>
      <c r="F1031" s="84" t="s">
        <v>1036</v>
      </c>
      <c r="G1031" s="85"/>
      <c r="H1031" s="85"/>
      <c r="I1031" s="85"/>
      <c r="J1031" s="85"/>
      <c r="K1031" s="86" t="s">
        <v>53</v>
      </c>
      <c r="L1031" s="86" t="s">
        <v>53</v>
      </c>
      <c r="M1031" s="90"/>
      <c r="N1031" s="90"/>
      <c r="O1031" s="90"/>
      <c r="P1031" s="90"/>
      <c r="Q1031" s="81"/>
      <c r="R1031" s="81"/>
      <c r="S1031" s="81"/>
      <c r="T1031" s="81"/>
      <c r="U1031" s="81"/>
      <c r="V1031" s="81"/>
      <c r="W1031" s="81"/>
      <c r="X1031" s="81"/>
      <c r="Y1031" s="81"/>
      <c r="Z1031" s="81"/>
      <c r="AA1031" s="81"/>
      <c r="AB1031" s="81"/>
      <c r="AC1031" s="81"/>
      <c r="AD1031" s="81"/>
      <c r="AE1031" s="90"/>
      <c r="AF1031" s="81"/>
      <c r="AG1031" s="81"/>
      <c r="AH1031" s="81"/>
      <c r="AI1031" s="81"/>
      <c r="AJ1031" s="81"/>
      <c r="AK1031" s="81"/>
      <c r="AL1031" s="81"/>
      <c r="AM1031" s="81" t="n">
        <f aca="false">O1031+Q1031+S1031+U1031+W1031+Y1031+AA1031+AC1031+AE1031+AG1031+AI1031+AK1031</f>
        <v>0</v>
      </c>
    </row>
    <row collapsed="false" customFormat="false" customHeight="true" hidden="false" ht="16.2" outlineLevel="0" r="1032">
      <c r="A1032" s="80"/>
      <c r="B1032" s="89"/>
      <c r="C1032" s="85"/>
      <c r="D1032" s="85"/>
      <c r="E1032" s="83" t="s">
        <v>1037</v>
      </c>
      <c r="F1032" s="84" t="s">
        <v>1036</v>
      </c>
      <c r="G1032" s="85"/>
      <c r="H1032" s="85"/>
      <c r="I1032" s="85"/>
      <c r="J1032" s="85"/>
      <c r="K1032" s="86"/>
      <c r="L1032" s="86"/>
      <c r="M1032" s="90" t="n">
        <f aca="false">677+621</f>
        <v>1298</v>
      </c>
      <c r="N1032" s="90" t="n">
        <f aca="false">538+946</f>
        <v>1484</v>
      </c>
      <c r="O1032" s="90" t="n">
        <v>162</v>
      </c>
      <c r="P1032" s="90" t="s">
        <v>1005</v>
      </c>
      <c r="Q1032" s="81" t="n">
        <v>150</v>
      </c>
      <c r="R1032" s="81"/>
      <c r="S1032" s="81" t="n">
        <v>84</v>
      </c>
      <c r="T1032" s="81" t="s">
        <v>1005</v>
      </c>
      <c r="U1032" s="81" t="n">
        <v>76</v>
      </c>
      <c r="V1032" s="81" t="s">
        <v>1005</v>
      </c>
      <c r="W1032" s="81" t="n">
        <v>71</v>
      </c>
      <c r="X1032" s="81" t="s">
        <v>1005</v>
      </c>
      <c r="Y1032" s="81" t="n">
        <v>51</v>
      </c>
      <c r="Z1032" s="81" t="s">
        <v>1005</v>
      </c>
      <c r="AA1032" s="81" t="n">
        <v>53</v>
      </c>
      <c r="AB1032" s="81" t="s">
        <v>1005</v>
      </c>
      <c r="AC1032" s="81" t="n">
        <v>68</v>
      </c>
      <c r="AD1032" s="81" t="s">
        <v>1005</v>
      </c>
      <c r="AE1032" s="90" t="n">
        <v>68</v>
      </c>
      <c r="AF1032" s="81" t="s">
        <v>1005</v>
      </c>
      <c r="AG1032" s="81" t="n">
        <f aca="false">67+77</f>
        <v>144</v>
      </c>
      <c r="AH1032" s="81" t="s">
        <v>1005</v>
      </c>
      <c r="AI1032" s="81" t="n">
        <f aca="false">60+42</f>
        <v>102</v>
      </c>
      <c r="AJ1032" s="81" t="s">
        <v>1005</v>
      </c>
      <c r="AK1032" s="81" t="n">
        <f aca="false">111+61</f>
        <v>172</v>
      </c>
      <c r="AL1032" s="81" t="s">
        <v>1005</v>
      </c>
      <c r="AM1032" s="81" t="n">
        <f aca="false">O1032+Q1032+S1032+U1032+W1032+Y1032+AA1032+AC1032+AE1032+AG1032+AI1032+AK1032</f>
        <v>1201</v>
      </c>
    </row>
    <row collapsed="false" customFormat="false" customHeight="true" hidden="false" ht="16.2" outlineLevel="0" r="1033">
      <c r="A1033" s="80" t="n">
        <v>530</v>
      </c>
      <c r="B1033" s="81" t="s">
        <v>728</v>
      </c>
      <c r="C1033" s="82" t="s">
        <v>1033</v>
      </c>
      <c r="D1033" s="82" t="s">
        <v>1034</v>
      </c>
      <c r="E1033" s="83" t="s">
        <v>1035</v>
      </c>
      <c r="F1033" s="84" t="s">
        <v>1036</v>
      </c>
      <c r="G1033" s="85"/>
      <c r="H1033" s="85"/>
      <c r="I1033" s="85"/>
      <c r="J1033" s="85"/>
      <c r="K1033" s="86" t="s">
        <v>53</v>
      </c>
      <c r="L1033" s="86" t="s">
        <v>53</v>
      </c>
      <c r="M1033" s="90"/>
      <c r="N1033" s="90"/>
      <c r="O1033" s="90"/>
      <c r="P1033" s="90"/>
      <c r="Q1033" s="81"/>
      <c r="R1033" s="81"/>
      <c r="S1033" s="81"/>
      <c r="T1033" s="81"/>
      <c r="U1033" s="81"/>
      <c r="V1033" s="81"/>
      <c r="W1033" s="81"/>
      <c r="X1033" s="81"/>
      <c r="Y1033" s="81"/>
      <c r="Z1033" s="81"/>
      <c r="AA1033" s="81"/>
      <c r="AB1033" s="81"/>
      <c r="AC1033" s="81"/>
      <c r="AD1033" s="81"/>
      <c r="AE1033" s="90"/>
      <c r="AF1033" s="81"/>
      <c r="AG1033" s="81"/>
      <c r="AH1033" s="81"/>
      <c r="AI1033" s="81"/>
      <c r="AJ1033" s="81"/>
      <c r="AK1033" s="81"/>
      <c r="AL1033" s="81"/>
      <c r="AM1033" s="81" t="n">
        <f aca="false">O1033+Q1033+S1033+U1033+W1033+Y1033+AA1033+AC1033+AE1033+AG1033+AI1033+AK1033</f>
        <v>0</v>
      </c>
    </row>
    <row collapsed="false" customFormat="false" customHeight="true" hidden="false" ht="16.2" outlineLevel="0" r="1034">
      <c r="A1034" s="80"/>
      <c r="B1034" s="89"/>
      <c r="C1034" s="85"/>
      <c r="D1034" s="85"/>
      <c r="E1034" s="83" t="s">
        <v>1037</v>
      </c>
      <c r="F1034" s="84" t="s">
        <v>1036</v>
      </c>
      <c r="G1034" s="85"/>
      <c r="H1034" s="85"/>
      <c r="I1034" s="85"/>
      <c r="J1034" s="85"/>
      <c r="K1034" s="86"/>
      <c r="L1034" s="86"/>
      <c r="M1034" s="90" t="n">
        <f aca="false">3718+3438</f>
        <v>7156</v>
      </c>
      <c r="N1034" s="91" t="n">
        <f aca="false">3114+2864</f>
        <v>5978</v>
      </c>
      <c r="O1034" s="90" t="n">
        <v>749</v>
      </c>
      <c r="P1034" s="90" t="s">
        <v>1005</v>
      </c>
      <c r="Q1034" s="81" t="n">
        <v>585</v>
      </c>
      <c r="R1034" s="81"/>
      <c r="S1034" s="81" t="n">
        <v>489</v>
      </c>
      <c r="T1034" s="81" t="s">
        <v>1005</v>
      </c>
      <c r="U1034" s="81" t="n">
        <v>422</v>
      </c>
      <c r="V1034" s="81" t="s">
        <v>1005</v>
      </c>
      <c r="W1034" s="81" t="n">
        <v>404</v>
      </c>
      <c r="X1034" s="81" t="s">
        <v>1005</v>
      </c>
      <c r="Y1034" s="81" t="n">
        <v>276</v>
      </c>
      <c r="Z1034" s="81" t="s">
        <v>1005</v>
      </c>
      <c r="AA1034" s="81" t="n">
        <v>199</v>
      </c>
      <c r="AB1034" s="81" t="s">
        <v>1005</v>
      </c>
      <c r="AC1034" s="81" t="n">
        <v>343</v>
      </c>
      <c r="AD1034" s="81" t="s">
        <v>1005</v>
      </c>
      <c r="AE1034" s="90" t="n">
        <v>343</v>
      </c>
      <c r="AF1034" s="81" t="s">
        <v>1005</v>
      </c>
      <c r="AG1034" s="81" t="n">
        <f aca="false">267+258</f>
        <v>525</v>
      </c>
      <c r="AH1034" s="81" t="s">
        <v>1005</v>
      </c>
      <c r="AI1034" s="81" t="n">
        <f aca="false">387+321</f>
        <v>708</v>
      </c>
      <c r="AJ1034" s="81" t="s">
        <v>1005</v>
      </c>
      <c r="AK1034" s="81" t="n">
        <f aca="false">390+267</f>
        <v>657</v>
      </c>
      <c r="AL1034" s="81" t="s">
        <v>1005</v>
      </c>
      <c r="AM1034" s="81" t="n">
        <f aca="false">O1034+Q1034+S1034+U1034+W1034+Y1034+AA1034+AC1034+AE1034+AG1034+AI1034+AK1034</f>
        <v>5700</v>
      </c>
    </row>
    <row collapsed="false" customFormat="false" customHeight="true" hidden="false" ht="16.2" outlineLevel="0" r="1035">
      <c r="A1035" s="80" t="n">
        <v>531</v>
      </c>
      <c r="B1035" s="81"/>
      <c r="C1035" s="82" t="s">
        <v>1033</v>
      </c>
      <c r="D1035" s="85"/>
      <c r="E1035" s="83" t="s">
        <v>1035</v>
      </c>
      <c r="F1035" s="49" t="s">
        <v>1036</v>
      </c>
      <c r="G1035" s="85"/>
      <c r="H1035" s="85"/>
      <c r="I1035" s="85"/>
      <c r="J1035" s="85"/>
      <c r="K1035" s="85"/>
      <c r="L1035" s="85"/>
      <c r="M1035" s="81"/>
      <c r="N1035" s="81"/>
      <c r="O1035" s="96"/>
      <c r="P1035" s="81"/>
      <c r="Q1035" s="81"/>
      <c r="R1035" s="81"/>
      <c r="S1035" s="81"/>
      <c r="T1035" s="81"/>
      <c r="U1035" s="81"/>
      <c r="V1035" s="81"/>
      <c r="W1035" s="81"/>
      <c r="X1035" s="81"/>
      <c r="Y1035" s="81"/>
      <c r="Z1035" s="81"/>
      <c r="AA1035" s="81"/>
      <c r="AB1035" s="81"/>
      <c r="AC1035" s="81"/>
      <c r="AD1035" s="81"/>
      <c r="AE1035" s="81"/>
      <c r="AF1035" s="81"/>
      <c r="AG1035" s="81"/>
      <c r="AH1035" s="81"/>
      <c r="AI1035" s="81"/>
      <c r="AJ1035" s="81"/>
      <c r="AK1035" s="81"/>
      <c r="AL1035" s="81"/>
      <c r="AM1035" s="81"/>
    </row>
    <row collapsed="false" customFormat="false" customHeight="true" hidden="false" ht="16.2" outlineLevel="0" r="1036">
      <c r="A1036" s="80"/>
      <c r="B1036" s="81" t="s">
        <v>730</v>
      </c>
      <c r="C1036" s="85"/>
      <c r="D1036" s="85" t="s">
        <v>1054</v>
      </c>
      <c r="E1036" s="83" t="s">
        <v>1037</v>
      </c>
      <c r="F1036" s="49" t="s">
        <v>1036</v>
      </c>
      <c r="G1036" s="85" t="s">
        <v>1042</v>
      </c>
      <c r="H1036" s="85" t="n">
        <v>12</v>
      </c>
      <c r="I1036" s="85" t="s">
        <v>1039</v>
      </c>
      <c r="J1036" s="85" t="n">
        <v>3</v>
      </c>
      <c r="K1036" s="85" t="s">
        <v>1041</v>
      </c>
      <c r="L1036" s="85" t="s">
        <v>1041</v>
      </c>
      <c r="M1036" s="81" t="n">
        <v>0</v>
      </c>
      <c r="N1036" s="81"/>
      <c r="O1036" s="96"/>
      <c r="P1036" s="81"/>
      <c r="Q1036" s="81"/>
      <c r="R1036" s="81"/>
      <c r="S1036" s="81"/>
      <c r="T1036" s="81"/>
      <c r="U1036" s="81"/>
      <c r="V1036" s="81"/>
      <c r="W1036" s="81"/>
      <c r="X1036" s="81"/>
      <c r="Y1036" s="81"/>
      <c r="Z1036" s="81"/>
      <c r="AA1036" s="81"/>
      <c r="AB1036" s="81"/>
      <c r="AC1036" s="81"/>
      <c r="AD1036" s="81"/>
      <c r="AE1036" s="81"/>
      <c r="AF1036" s="81"/>
      <c r="AG1036" s="81"/>
      <c r="AH1036" s="81"/>
      <c r="AI1036" s="81"/>
      <c r="AJ1036" s="81"/>
      <c r="AK1036" s="81"/>
      <c r="AL1036" s="81"/>
      <c r="AM1036" s="81"/>
    </row>
    <row collapsed="false" customFormat="false" customHeight="true" hidden="false" ht="16.2" outlineLevel="0" r="1037">
      <c r="A1037" s="80" t="n">
        <v>532</v>
      </c>
      <c r="B1037" s="81"/>
      <c r="C1037" s="82" t="s">
        <v>1033</v>
      </c>
      <c r="D1037" s="85"/>
      <c r="E1037" s="83" t="s">
        <v>1035</v>
      </c>
      <c r="F1037" s="49" t="s">
        <v>1036</v>
      </c>
      <c r="G1037" s="85"/>
      <c r="H1037" s="85"/>
      <c r="I1037" s="85"/>
      <c r="J1037" s="85"/>
      <c r="K1037" s="85"/>
      <c r="L1037" s="85"/>
      <c r="M1037" s="81"/>
      <c r="N1037" s="81"/>
      <c r="O1037" s="96"/>
      <c r="P1037" s="81"/>
      <c r="Q1037" s="81"/>
      <c r="R1037" s="81"/>
      <c r="S1037" s="81"/>
      <c r="T1037" s="81"/>
      <c r="U1037" s="81"/>
      <c r="V1037" s="81"/>
      <c r="W1037" s="81"/>
      <c r="X1037" s="81"/>
      <c r="Y1037" s="81"/>
      <c r="Z1037" s="81"/>
      <c r="AA1037" s="81"/>
      <c r="AB1037" s="81"/>
      <c r="AC1037" s="81"/>
      <c r="AD1037" s="81"/>
      <c r="AE1037" s="81"/>
      <c r="AF1037" s="81"/>
      <c r="AG1037" s="81"/>
      <c r="AH1037" s="81"/>
      <c r="AI1037" s="81"/>
      <c r="AJ1037" s="81"/>
      <c r="AK1037" s="81"/>
      <c r="AL1037" s="81"/>
      <c r="AM1037" s="81"/>
    </row>
    <row collapsed="false" customFormat="false" customHeight="true" hidden="false" ht="16.2" outlineLevel="0" r="1038">
      <c r="A1038" s="80"/>
      <c r="B1038" s="81" t="s">
        <v>731</v>
      </c>
      <c r="C1038" s="85"/>
      <c r="D1038" s="85" t="s">
        <v>1054</v>
      </c>
      <c r="E1038" s="83" t="s">
        <v>1037</v>
      </c>
      <c r="F1038" s="49" t="s">
        <v>1036</v>
      </c>
      <c r="G1038" s="85" t="s">
        <v>1042</v>
      </c>
      <c r="H1038" s="85" t="n">
        <v>12</v>
      </c>
      <c r="I1038" s="85" t="s">
        <v>1039</v>
      </c>
      <c r="J1038" s="85" t="n">
        <v>3</v>
      </c>
      <c r="K1038" s="85" t="s">
        <v>1041</v>
      </c>
      <c r="L1038" s="85" t="s">
        <v>1041</v>
      </c>
      <c r="M1038" s="81" t="n">
        <v>0</v>
      </c>
      <c r="N1038" s="81"/>
      <c r="O1038" s="96"/>
      <c r="P1038" s="81"/>
      <c r="Q1038" s="81"/>
      <c r="R1038" s="81"/>
      <c r="S1038" s="81"/>
      <c r="T1038" s="81"/>
      <c r="U1038" s="81"/>
      <c r="V1038" s="81"/>
      <c r="W1038" s="81"/>
      <c r="X1038" s="81"/>
      <c r="Y1038" s="81"/>
      <c r="Z1038" s="81"/>
      <c r="AA1038" s="81"/>
      <c r="AB1038" s="81"/>
      <c r="AC1038" s="81"/>
      <c r="AD1038" s="81"/>
      <c r="AE1038" s="81"/>
      <c r="AF1038" s="81"/>
      <c r="AG1038" s="81"/>
      <c r="AH1038" s="81"/>
      <c r="AI1038" s="81"/>
      <c r="AJ1038" s="81"/>
      <c r="AK1038" s="81"/>
      <c r="AL1038" s="81"/>
      <c r="AM1038" s="81"/>
    </row>
    <row collapsed="false" customFormat="false" customHeight="true" hidden="false" ht="16.2" outlineLevel="0" r="1039">
      <c r="A1039" s="80" t="n">
        <v>533</v>
      </c>
      <c r="B1039" s="98"/>
      <c r="C1039" s="82" t="s">
        <v>1033</v>
      </c>
      <c r="D1039" s="92"/>
      <c r="E1039" s="83" t="s">
        <v>1035</v>
      </c>
      <c r="F1039" s="49" t="s">
        <v>1036</v>
      </c>
      <c r="G1039" s="92"/>
      <c r="H1039" s="92"/>
      <c r="I1039" s="92"/>
      <c r="J1039" s="92"/>
      <c r="K1039" s="93"/>
      <c r="L1039" s="93"/>
      <c r="M1039" s="94"/>
      <c r="N1039" s="94"/>
      <c r="O1039" s="95"/>
      <c r="P1039" s="95"/>
      <c r="Q1039" s="95"/>
      <c r="R1039" s="95"/>
      <c r="S1039" s="95"/>
      <c r="T1039" s="95"/>
      <c r="U1039" s="95"/>
      <c r="V1039" s="95"/>
      <c r="W1039" s="95"/>
      <c r="X1039" s="95"/>
      <c r="Y1039" s="95"/>
      <c r="Z1039" s="95"/>
      <c r="AA1039" s="95"/>
      <c r="AB1039" s="95"/>
      <c r="AC1039" s="95"/>
      <c r="AD1039" s="95"/>
      <c r="AE1039" s="95"/>
      <c r="AF1039" s="95"/>
      <c r="AG1039" s="95"/>
      <c r="AH1039" s="95"/>
      <c r="AI1039" s="95"/>
      <c r="AJ1039" s="95"/>
      <c r="AK1039" s="95"/>
      <c r="AL1039" s="95"/>
      <c r="AM1039" s="95"/>
    </row>
    <row collapsed="false" customFormat="false" customHeight="true" hidden="false" ht="16.2" outlineLevel="0" r="1040">
      <c r="A1040" s="80"/>
      <c r="B1040" s="98" t="s">
        <v>733</v>
      </c>
      <c r="C1040" s="85"/>
      <c r="D1040" s="85" t="s">
        <v>1047</v>
      </c>
      <c r="E1040" s="83" t="s">
        <v>1037</v>
      </c>
      <c r="F1040" s="49" t="s">
        <v>1036</v>
      </c>
      <c r="G1040" s="85" t="s">
        <v>1048</v>
      </c>
      <c r="H1040" s="85" t="n">
        <v>40</v>
      </c>
      <c r="I1040" s="85" t="s">
        <v>1059</v>
      </c>
      <c r="J1040" s="85" t="n">
        <v>3</v>
      </c>
      <c r="K1040" s="93" t="s">
        <v>53</v>
      </c>
      <c r="L1040" s="93" t="s">
        <v>53</v>
      </c>
      <c r="M1040" s="81" t="n">
        <f aca="false">340+260+380+300+300+290+240+270+420+370+550+490+280+300+370+350+330+320+400+320+450+350+330+190</f>
        <v>8200</v>
      </c>
      <c r="N1040" s="81" t="n">
        <f aca="false">420+320+280+250+370+330+250+280+310+320+260+220+220+220+300+240+290+340+440+320+490+350+427+305</f>
        <v>7552</v>
      </c>
      <c r="O1040" s="81" t="n">
        <f aca="false">363+265</f>
        <v>628</v>
      </c>
      <c r="P1040" s="81"/>
      <c r="Q1040" s="81" t="n">
        <f aca="false">360+300</f>
        <v>660</v>
      </c>
      <c r="R1040" s="81"/>
      <c r="S1040" s="81" t="n">
        <f aca="false">300+280</f>
        <v>580</v>
      </c>
      <c r="T1040" s="81"/>
      <c r="U1040" s="81" t="n">
        <f aca="false">260+250</f>
        <v>510</v>
      </c>
      <c r="V1040" s="81"/>
      <c r="W1040" s="81" t="n">
        <f aca="false">220+210</f>
        <v>430</v>
      </c>
      <c r="X1040" s="81"/>
      <c r="Y1040" s="81" t="n">
        <f aca="false">228+189</f>
        <v>417</v>
      </c>
      <c r="Z1040" s="81"/>
      <c r="AA1040" s="81" t="n">
        <f aca="false">212+261</f>
        <v>473</v>
      </c>
      <c r="AB1040" s="81"/>
      <c r="AC1040" s="81" t="n">
        <f aca="false">220+120</f>
        <v>340</v>
      </c>
      <c r="AD1040" s="81"/>
      <c r="AE1040" s="81" t="n">
        <f aca="false">210+150</f>
        <v>360</v>
      </c>
      <c r="AF1040" s="81"/>
      <c r="AG1040" s="81" t="n">
        <f aca="false">230+160</f>
        <v>390</v>
      </c>
      <c r="AH1040" s="81"/>
      <c r="AI1040" s="81" t="n">
        <f aca="false">280+190</f>
        <v>470</v>
      </c>
      <c r="AJ1040" s="81"/>
      <c r="AK1040" s="81" t="n">
        <f aca="false">250+160</f>
        <v>410</v>
      </c>
      <c r="AL1040" s="81"/>
      <c r="AM1040" s="81" t="n">
        <f aca="false">O1040+Q1040+S1040+U1040+W1040+Y1040+AA1040+AC1040+AE1040+AG1040+AI1040+AK1040</f>
        <v>5668</v>
      </c>
    </row>
    <row collapsed="false" customFormat="false" customHeight="true" hidden="false" ht="16.2" outlineLevel="0" r="1041">
      <c r="A1041" s="80" t="n">
        <v>534</v>
      </c>
      <c r="B1041" s="81"/>
      <c r="C1041" s="82" t="s">
        <v>1033</v>
      </c>
      <c r="D1041" s="85"/>
      <c r="E1041" s="83" t="s">
        <v>1035</v>
      </c>
      <c r="F1041" s="49" t="s">
        <v>1036</v>
      </c>
      <c r="G1041" s="85"/>
      <c r="H1041" s="85"/>
      <c r="I1041" s="85"/>
      <c r="J1041" s="85"/>
      <c r="K1041" s="93"/>
      <c r="L1041" s="93"/>
      <c r="M1041" s="81"/>
      <c r="N1041" s="81"/>
      <c r="O1041" s="81"/>
      <c r="P1041" s="81"/>
      <c r="Q1041" s="81"/>
      <c r="R1041" s="81"/>
      <c r="S1041" s="81"/>
      <c r="T1041" s="81"/>
      <c r="U1041" s="81"/>
      <c r="V1041" s="81"/>
      <c r="W1041" s="81"/>
      <c r="X1041" s="81"/>
      <c r="Y1041" s="81"/>
      <c r="Z1041" s="81"/>
      <c r="AA1041" s="81"/>
      <c r="AB1041" s="81"/>
      <c r="AC1041" s="81"/>
      <c r="AD1041" s="81"/>
      <c r="AE1041" s="81"/>
      <c r="AF1041" s="81"/>
      <c r="AG1041" s="81"/>
      <c r="AH1041" s="81"/>
      <c r="AI1041" s="81"/>
      <c r="AJ1041" s="81"/>
      <c r="AK1041" s="81"/>
      <c r="AL1041" s="81"/>
      <c r="AM1041" s="81"/>
    </row>
    <row collapsed="false" customFormat="false" customHeight="true" hidden="false" ht="16.2" outlineLevel="0" r="1042">
      <c r="A1042" s="80"/>
      <c r="B1042" s="98" t="s">
        <v>734</v>
      </c>
      <c r="C1042" s="85"/>
      <c r="D1042" s="85" t="s">
        <v>1047</v>
      </c>
      <c r="E1042" s="83" t="s">
        <v>1037</v>
      </c>
      <c r="F1042" s="49" t="s">
        <v>1036</v>
      </c>
      <c r="G1042" s="85" t="s">
        <v>1048</v>
      </c>
      <c r="H1042" s="85" t="n">
        <v>68</v>
      </c>
      <c r="I1042" s="85" t="s">
        <v>1049</v>
      </c>
      <c r="J1042" s="85" t="n">
        <v>4</v>
      </c>
      <c r="K1042" s="93" t="s">
        <v>53</v>
      </c>
      <c r="L1042" s="93" t="s">
        <v>53</v>
      </c>
      <c r="M1042" s="81" t="n">
        <f aca="false">800+550+790+675+570+560+500+650+400+630+310+480+330+550+290+510+650+520+630+600+750+600+700+500</f>
        <v>13545</v>
      </c>
      <c r="N1042" s="81" t="n">
        <f aca="false">661+464+670+480+430+360+340+370+290+360+250+300+290+330+330+410+370+380+490+390+580+470+860+610</f>
        <v>10485</v>
      </c>
      <c r="O1042" s="81" t="n">
        <f aca="false">619+406</f>
        <v>1025</v>
      </c>
      <c r="P1042" s="81"/>
      <c r="Q1042" s="81" t="n">
        <f aca="false">560+420</f>
        <v>980</v>
      </c>
      <c r="R1042" s="81"/>
      <c r="S1042" s="81" t="n">
        <f aca="false">450+420</f>
        <v>870</v>
      </c>
      <c r="T1042" s="81"/>
      <c r="U1042" s="81" t="n">
        <f aca="false">280+410</f>
        <v>690</v>
      </c>
      <c r="V1042" s="81"/>
      <c r="W1042" s="81" t="n">
        <f aca="false">210+370</f>
        <v>580</v>
      </c>
      <c r="X1042" s="81"/>
      <c r="Y1042" s="81" t="n">
        <f aca="false">240+402</f>
        <v>642</v>
      </c>
      <c r="Z1042" s="81"/>
      <c r="AA1042" s="81" t="n">
        <f aca="false">200+368</f>
        <v>568</v>
      </c>
      <c r="AB1042" s="81"/>
      <c r="AC1042" s="81" t="n">
        <f aca="false">220+410</f>
        <v>630</v>
      </c>
      <c r="AD1042" s="81"/>
      <c r="AE1042" s="81" t="n">
        <f aca="false">330+410</f>
        <v>740</v>
      </c>
      <c r="AF1042" s="81"/>
      <c r="AG1042" s="81" t="n">
        <f aca="false">420+370</f>
        <v>790</v>
      </c>
      <c r="AH1042" s="81"/>
      <c r="AI1042" s="81" t="n">
        <f aca="false">570+400</f>
        <v>970</v>
      </c>
      <c r="AJ1042" s="81"/>
      <c r="AK1042" s="81" t="n">
        <f aca="false">570+400</f>
        <v>970</v>
      </c>
      <c r="AL1042" s="81"/>
      <c r="AM1042" s="81" t="n">
        <f aca="false">O1042+Q1042+S1042+U1042+W1042+Y1042+AA1042+AC1042+AE1042+AG1042+AI1042+AK1042</f>
        <v>9455</v>
      </c>
    </row>
    <row collapsed="false" customFormat="false" customHeight="true" hidden="false" ht="16.2" outlineLevel="0" r="1043">
      <c r="A1043" s="80" t="n">
        <v>535</v>
      </c>
      <c r="B1043" s="81" t="s">
        <v>736</v>
      </c>
      <c r="C1043" s="82" t="s">
        <v>1033</v>
      </c>
      <c r="D1043" s="82" t="s">
        <v>1034</v>
      </c>
      <c r="E1043" s="83" t="s">
        <v>1035</v>
      </c>
      <c r="F1043" s="84" t="s">
        <v>1036</v>
      </c>
      <c r="G1043" s="85"/>
      <c r="H1043" s="85"/>
      <c r="I1043" s="85"/>
      <c r="J1043" s="85"/>
      <c r="K1043" s="86" t="s">
        <v>53</v>
      </c>
      <c r="L1043" s="86" t="s">
        <v>53</v>
      </c>
      <c r="M1043" s="90" t="n">
        <f aca="false">3892+1344</f>
        <v>5236</v>
      </c>
      <c r="N1043" s="90" t="n">
        <f aca="false">4222+1285</f>
        <v>5507</v>
      </c>
      <c r="O1043" s="90" t="n">
        <v>435</v>
      </c>
      <c r="P1043" s="90"/>
      <c r="Q1043" s="81" t="n">
        <v>410</v>
      </c>
      <c r="R1043" s="81"/>
      <c r="S1043" s="81" t="n">
        <v>438</v>
      </c>
      <c r="T1043" s="81"/>
      <c r="U1043" s="81" t="n">
        <v>522</v>
      </c>
      <c r="V1043" s="81"/>
      <c r="W1043" s="81" t="n">
        <v>476</v>
      </c>
      <c r="X1043" s="81"/>
      <c r="Y1043" s="81" t="n">
        <v>465</v>
      </c>
      <c r="Z1043" s="81"/>
      <c r="AA1043" s="81" t="n">
        <v>407</v>
      </c>
      <c r="AB1043" s="81"/>
      <c r="AC1043" s="81" t="n">
        <v>515</v>
      </c>
      <c r="AD1043" s="81"/>
      <c r="AE1043" s="90" t="n">
        <v>515</v>
      </c>
      <c r="AF1043" s="81"/>
      <c r="AG1043" s="81" t="n">
        <f aca="false">295+81</f>
        <v>376</v>
      </c>
      <c r="AH1043" s="81"/>
      <c r="AI1043" s="81" t="n">
        <f aca="false">343+92</f>
        <v>435</v>
      </c>
      <c r="AJ1043" s="81"/>
      <c r="AK1043" s="81" t="n">
        <f aca="false">334+94</f>
        <v>428</v>
      </c>
      <c r="AL1043" s="81"/>
      <c r="AM1043" s="81" t="n">
        <f aca="false">O1043+Q1043+S1043+U1043+W1043+Y1043+AA1043+AC1043+AE1043+AG1043+AI1043+AK1043</f>
        <v>5422</v>
      </c>
    </row>
    <row collapsed="false" customFormat="false" customHeight="true" hidden="false" ht="16.2" outlineLevel="0" r="1044">
      <c r="A1044" s="80"/>
      <c r="B1044" s="89"/>
      <c r="C1044" s="85"/>
      <c r="D1044" s="85"/>
      <c r="E1044" s="83" t="s">
        <v>1037</v>
      </c>
      <c r="F1044" s="84" t="s">
        <v>1036</v>
      </c>
      <c r="G1044" s="85"/>
      <c r="H1044" s="85"/>
      <c r="I1044" s="85"/>
      <c r="J1044" s="85"/>
      <c r="K1044" s="86"/>
      <c r="L1044" s="86"/>
      <c r="M1044" s="90" t="n">
        <f aca="false">3228+1484</f>
        <v>4712</v>
      </c>
      <c r="N1044" s="91" t="n">
        <f aca="false">600+329</f>
        <v>929</v>
      </c>
      <c r="O1044" s="90" t="n">
        <v>760</v>
      </c>
      <c r="P1044" s="90" t="s">
        <v>1005</v>
      </c>
      <c r="Q1044" s="81" t="n">
        <v>738</v>
      </c>
      <c r="R1044" s="81"/>
      <c r="S1044" s="81" t="n">
        <v>746</v>
      </c>
      <c r="T1044" s="81" t="s">
        <v>1005</v>
      </c>
      <c r="U1044" s="81" t="n">
        <v>837</v>
      </c>
      <c r="V1044" s="81" t="s">
        <v>1005</v>
      </c>
      <c r="W1044" s="81" t="n">
        <v>694</v>
      </c>
      <c r="X1044" s="81" t="s">
        <v>1005</v>
      </c>
      <c r="Y1044" s="81" t="n">
        <v>615</v>
      </c>
      <c r="Z1044" s="81" t="s">
        <v>1005</v>
      </c>
      <c r="AA1044" s="81" t="n">
        <v>473</v>
      </c>
      <c r="AB1044" s="81" t="s">
        <v>1005</v>
      </c>
      <c r="AC1044" s="81" t="n">
        <v>754</v>
      </c>
      <c r="AD1044" s="81" t="s">
        <v>1005</v>
      </c>
      <c r="AE1044" s="90" t="n">
        <v>754</v>
      </c>
      <c r="AF1044" s="81" t="s">
        <v>1005</v>
      </c>
      <c r="AG1044" s="81" t="n">
        <f aca="false">365+199</f>
        <v>564</v>
      </c>
      <c r="AH1044" s="81" t="s">
        <v>1005</v>
      </c>
      <c r="AI1044" s="81" t="n">
        <f aca="false">507+275</f>
        <v>782</v>
      </c>
      <c r="AJ1044" s="81" t="s">
        <v>1005</v>
      </c>
      <c r="AK1044" s="81" t="n">
        <f aca="false">472+254</f>
        <v>726</v>
      </c>
      <c r="AL1044" s="81" t="s">
        <v>1005</v>
      </c>
      <c r="AM1044" s="81" t="n">
        <f aca="false">O1044+Q1044+S1044+U1044+W1044+Y1044+AA1044+AC1044+AE1044+AG1044+AI1044+AK1044</f>
        <v>8443</v>
      </c>
    </row>
    <row collapsed="false" customFormat="false" customHeight="true" hidden="false" ht="16.2" outlineLevel="0" r="1045">
      <c r="A1045" s="80" t="n">
        <v>536</v>
      </c>
      <c r="B1045" s="81" t="s">
        <v>737</v>
      </c>
      <c r="C1045" s="82" t="s">
        <v>1033</v>
      </c>
      <c r="D1045" s="82" t="s">
        <v>1034</v>
      </c>
      <c r="E1045" s="83" t="s">
        <v>1035</v>
      </c>
      <c r="F1045" s="84" t="s">
        <v>1036</v>
      </c>
      <c r="G1045" s="85"/>
      <c r="H1045" s="85"/>
      <c r="I1045" s="85"/>
      <c r="J1045" s="85"/>
      <c r="K1045" s="86" t="s">
        <v>53</v>
      </c>
      <c r="L1045" s="86" t="s">
        <v>53</v>
      </c>
      <c r="M1045" s="90"/>
      <c r="N1045" s="90"/>
      <c r="O1045" s="90"/>
      <c r="P1045" s="90"/>
      <c r="Q1045" s="81"/>
      <c r="R1045" s="81"/>
      <c r="S1045" s="81" t="n">
        <v>537</v>
      </c>
      <c r="T1045" s="81"/>
      <c r="U1045" s="81"/>
      <c r="V1045" s="81"/>
      <c r="W1045" s="81"/>
      <c r="X1045" s="81"/>
      <c r="Y1045" s="81"/>
      <c r="Z1045" s="81"/>
      <c r="AA1045" s="81"/>
      <c r="AB1045" s="81"/>
      <c r="AC1045" s="81"/>
      <c r="AD1045" s="81"/>
      <c r="AE1045" s="90"/>
      <c r="AF1045" s="81"/>
      <c r="AG1045" s="81"/>
      <c r="AH1045" s="81"/>
      <c r="AI1045" s="81"/>
      <c r="AJ1045" s="81"/>
      <c r="AK1045" s="81"/>
      <c r="AL1045" s="81"/>
      <c r="AM1045" s="81" t="n">
        <f aca="false">O1045+Q1045+S1045+U1045+W1045+Y1045+AA1045+AC1045+AE1045+AG1045+AI1045+AK1045</f>
        <v>537</v>
      </c>
    </row>
    <row collapsed="false" customFormat="false" customHeight="true" hidden="false" ht="16.2" outlineLevel="0" r="1046">
      <c r="A1046" s="80"/>
      <c r="B1046" s="89"/>
      <c r="C1046" s="85"/>
      <c r="D1046" s="85"/>
      <c r="E1046" s="83" t="s">
        <v>1037</v>
      </c>
      <c r="F1046" s="84" t="s">
        <v>1036</v>
      </c>
      <c r="G1046" s="85"/>
      <c r="H1046" s="85"/>
      <c r="I1046" s="85"/>
      <c r="J1046" s="85"/>
      <c r="K1046" s="86"/>
      <c r="L1046" s="86"/>
      <c r="M1046" s="90" t="n">
        <f aca="false">3544</f>
        <v>3544</v>
      </c>
      <c r="N1046" s="91" t="n">
        <f aca="false">5203</f>
        <v>5203</v>
      </c>
      <c r="O1046" s="90" t="n">
        <v>760</v>
      </c>
      <c r="P1046" s="90" t="s">
        <v>1005</v>
      </c>
      <c r="Q1046" s="81" t="n">
        <v>614</v>
      </c>
      <c r="R1046" s="81"/>
      <c r="S1046" s="81" t="n">
        <v>537</v>
      </c>
      <c r="T1046" s="81" t="s">
        <v>1005</v>
      </c>
      <c r="U1046" s="81" t="n">
        <v>561</v>
      </c>
      <c r="V1046" s="81" t="s">
        <v>1005</v>
      </c>
      <c r="W1046" s="81" t="n">
        <v>290</v>
      </c>
      <c r="X1046" s="81" t="s">
        <v>1005</v>
      </c>
      <c r="Y1046" s="81" t="n">
        <v>182</v>
      </c>
      <c r="Z1046" s="81" t="s">
        <v>1005</v>
      </c>
      <c r="AA1046" s="81" t="n">
        <v>123</v>
      </c>
      <c r="AB1046" s="81" t="s">
        <v>1005</v>
      </c>
      <c r="AC1046" s="81" t="n">
        <v>342</v>
      </c>
      <c r="AD1046" s="81" t="s">
        <v>1005</v>
      </c>
      <c r="AE1046" s="90" t="n">
        <v>342</v>
      </c>
      <c r="AF1046" s="81" t="s">
        <v>1005</v>
      </c>
      <c r="AG1046" s="81" t="n">
        <f aca="false">519</f>
        <v>519</v>
      </c>
      <c r="AH1046" s="81" t="s">
        <v>1005</v>
      </c>
      <c r="AI1046" s="81" t="n">
        <f aca="false">645</f>
        <v>645</v>
      </c>
      <c r="AJ1046" s="81" t="s">
        <v>1005</v>
      </c>
      <c r="AK1046" s="81" t="n">
        <f aca="false">665</f>
        <v>665</v>
      </c>
      <c r="AL1046" s="81" t="s">
        <v>1005</v>
      </c>
      <c r="AM1046" s="81" t="n">
        <f aca="false">O1046+Q1046+S1046+U1046+W1046+Y1046+AA1046+AC1046+AE1046+AG1046+AI1046+AK1046</f>
        <v>5580</v>
      </c>
    </row>
    <row collapsed="false" customFormat="false" customHeight="true" hidden="false" ht="16.2" outlineLevel="0" r="1047">
      <c r="A1047" s="80" t="n">
        <v>537</v>
      </c>
      <c r="B1047" s="81" t="s">
        <v>738</v>
      </c>
      <c r="C1047" s="82" t="s">
        <v>1033</v>
      </c>
      <c r="D1047" s="82" t="s">
        <v>1034</v>
      </c>
      <c r="E1047" s="83" t="s">
        <v>1035</v>
      </c>
      <c r="F1047" s="84" t="s">
        <v>1036</v>
      </c>
      <c r="G1047" s="85"/>
      <c r="H1047" s="85"/>
      <c r="I1047" s="85"/>
      <c r="J1047" s="85"/>
      <c r="K1047" s="86" t="s">
        <v>53</v>
      </c>
      <c r="L1047" s="86" t="s">
        <v>53</v>
      </c>
      <c r="M1047" s="90"/>
      <c r="N1047" s="90"/>
      <c r="O1047" s="90"/>
      <c r="P1047" s="90"/>
      <c r="Q1047" s="81"/>
      <c r="R1047" s="81"/>
      <c r="S1047" s="81"/>
      <c r="T1047" s="81"/>
      <c r="U1047" s="81"/>
      <c r="V1047" s="81"/>
      <c r="W1047" s="81"/>
      <c r="X1047" s="81"/>
      <c r="Y1047" s="81"/>
      <c r="Z1047" s="81"/>
      <c r="AA1047" s="81"/>
      <c r="AB1047" s="81"/>
      <c r="AC1047" s="81"/>
      <c r="AD1047" s="81"/>
      <c r="AE1047" s="90"/>
      <c r="AF1047" s="81"/>
      <c r="AG1047" s="81"/>
      <c r="AH1047" s="81"/>
      <c r="AI1047" s="81"/>
      <c r="AJ1047" s="81"/>
      <c r="AK1047" s="81"/>
      <c r="AL1047" s="81"/>
      <c r="AM1047" s="81" t="n">
        <f aca="false">O1047+Q1047+S1047+U1047+W1047+Y1047+AA1047+AC1047+AE1047+AG1047+AI1047+AK1047</f>
        <v>0</v>
      </c>
    </row>
    <row collapsed="false" customFormat="false" customHeight="true" hidden="false" ht="16.2" outlineLevel="0" r="1048">
      <c r="A1048" s="80"/>
      <c r="B1048" s="89"/>
      <c r="C1048" s="85"/>
      <c r="D1048" s="85"/>
      <c r="E1048" s="83" t="s">
        <v>1037</v>
      </c>
      <c r="F1048" s="84" t="s">
        <v>1036</v>
      </c>
      <c r="G1048" s="85"/>
      <c r="H1048" s="85"/>
      <c r="I1048" s="85"/>
      <c r="J1048" s="85"/>
      <c r="K1048" s="86"/>
      <c r="L1048" s="86"/>
      <c r="M1048" s="90" t="n">
        <f aca="false">1770+2045</f>
        <v>3815</v>
      </c>
      <c r="N1048" s="91" t="n">
        <f aca="false">2448+3034</f>
        <v>5482</v>
      </c>
      <c r="O1048" s="90" t="n">
        <v>787</v>
      </c>
      <c r="P1048" s="90" t="s">
        <v>1005</v>
      </c>
      <c r="Q1048" s="81" t="n">
        <v>599</v>
      </c>
      <c r="R1048" s="81"/>
      <c r="S1048" s="81" t="n">
        <v>536</v>
      </c>
      <c r="T1048" s="81" t="s">
        <v>1005</v>
      </c>
      <c r="U1048" s="81" t="n">
        <v>498</v>
      </c>
      <c r="V1048" s="81" t="s">
        <v>1005</v>
      </c>
      <c r="W1048" s="81" t="n">
        <v>335</v>
      </c>
      <c r="X1048" s="81" t="s">
        <v>1005</v>
      </c>
      <c r="Y1048" s="81" t="n">
        <v>279</v>
      </c>
      <c r="Z1048" s="81" t="s">
        <v>1005</v>
      </c>
      <c r="AA1048" s="81" t="n">
        <v>203</v>
      </c>
      <c r="AB1048" s="81" t="s">
        <v>1005</v>
      </c>
      <c r="AC1048" s="81" t="n">
        <v>367</v>
      </c>
      <c r="AD1048" s="81" t="s">
        <v>1005</v>
      </c>
      <c r="AE1048" s="90" t="n">
        <v>367</v>
      </c>
      <c r="AF1048" s="81" t="s">
        <v>1005</v>
      </c>
      <c r="AG1048" s="81" t="n">
        <f aca="false">225+241</f>
        <v>466</v>
      </c>
      <c r="AH1048" s="81" t="s">
        <v>1005</v>
      </c>
      <c r="AI1048" s="81" t="n">
        <f aca="false">375+321</f>
        <v>696</v>
      </c>
      <c r="AJ1048" s="81" t="s">
        <v>1005</v>
      </c>
      <c r="AK1048" s="81" t="n">
        <f aca="false">370+271</f>
        <v>641</v>
      </c>
      <c r="AL1048" s="81" t="s">
        <v>1005</v>
      </c>
      <c r="AM1048" s="81" t="n">
        <f aca="false">O1048+Q1048+S1048+U1048+W1048+Y1048+AA1048+AC1048+AE1048+AG1048+AI1048+AK1048</f>
        <v>5774</v>
      </c>
    </row>
    <row collapsed="false" customFormat="false" customHeight="true" hidden="false" ht="16.2" outlineLevel="0" r="1049">
      <c r="A1049" s="80" t="n">
        <v>538</v>
      </c>
      <c r="B1049" s="81" t="s">
        <v>739</v>
      </c>
      <c r="C1049" s="82" t="s">
        <v>1033</v>
      </c>
      <c r="D1049" s="82" t="s">
        <v>1034</v>
      </c>
      <c r="E1049" s="83" t="s">
        <v>1035</v>
      </c>
      <c r="F1049" s="84" t="s">
        <v>1036</v>
      </c>
      <c r="G1049" s="85"/>
      <c r="H1049" s="85"/>
      <c r="I1049" s="85"/>
      <c r="J1049" s="85"/>
      <c r="K1049" s="86" t="s">
        <v>53</v>
      </c>
      <c r="L1049" s="86" t="s">
        <v>53</v>
      </c>
      <c r="M1049" s="90"/>
      <c r="N1049" s="90"/>
      <c r="O1049" s="90"/>
      <c r="P1049" s="90"/>
      <c r="Q1049" s="81"/>
      <c r="R1049" s="81"/>
      <c r="S1049" s="81"/>
      <c r="T1049" s="81"/>
      <c r="U1049" s="81"/>
      <c r="V1049" s="81"/>
      <c r="W1049" s="81"/>
      <c r="X1049" s="81"/>
      <c r="Y1049" s="81"/>
      <c r="Z1049" s="81"/>
      <c r="AA1049" s="81"/>
      <c r="AB1049" s="81"/>
      <c r="AC1049" s="81"/>
      <c r="AD1049" s="81"/>
      <c r="AE1049" s="90"/>
      <c r="AF1049" s="81"/>
      <c r="AG1049" s="81"/>
      <c r="AH1049" s="81"/>
      <c r="AI1049" s="81"/>
      <c r="AJ1049" s="81"/>
      <c r="AK1049" s="81"/>
      <c r="AL1049" s="81"/>
      <c r="AM1049" s="81" t="n">
        <f aca="false">O1049+Q1049+S1049+U1049+W1049+Y1049+AA1049+AC1049+AE1049+AG1049+AI1049+AK1049</f>
        <v>0</v>
      </c>
    </row>
    <row collapsed="false" customFormat="false" customHeight="true" hidden="false" ht="16.2" outlineLevel="0" r="1050">
      <c r="A1050" s="80"/>
      <c r="B1050" s="89"/>
      <c r="C1050" s="85"/>
      <c r="D1050" s="85"/>
      <c r="E1050" s="83" t="s">
        <v>1037</v>
      </c>
      <c r="F1050" s="84" t="s">
        <v>1036</v>
      </c>
      <c r="G1050" s="85"/>
      <c r="H1050" s="85"/>
      <c r="I1050" s="85"/>
      <c r="J1050" s="85"/>
      <c r="K1050" s="86"/>
      <c r="L1050" s="86"/>
      <c r="M1050" s="90" t="n">
        <f aca="false">1577+1522+2303+2428</f>
        <v>7830</v>
      </c>
      <c r="N1050" s="91" t="n">
        <f aca="false">1338+1533+1187+1096</f>
        <v>5154</v>
      </c>
      <c r="O1050" s="90" t="n">
        <v>1488</v>
      </c>
      <c r="P1050" s="90" t="s">
        <v>1061</v>
      </c>
      <c r="Q1050" s="81" t="n">
        <v>1075</v>
      </c>
      <c r="R1050" s="81" t="s">
        <v>1061</v>
      </c>
      <c r="S1050" s="81" t="n">
        <v>767</v>
      </c>
      <c r="T1050" s="81" t="s">
        <v>1061</v>
      </c>
      <c r="U1050" s="81" t="n">
        <v>767</v>
      </c>
      <c r="V1050" s="81" t="s">
        <v>1005</v>
      </c>
      <c r="W1050" s="81" t="n">
        <v>385</v>
      </c>
      <c r="X1050" s="81" t="s">
        <v>1005</v>
      </c>
      <c r="Y1050" s="81" t="n">
        <v>324</v>
      </c>
      <c r="Z1050" s="81" t="s">
        <v>1005</v>
      </c>
      <c r="AA1050" s="81" t="n">
        <v>291</v>
      </c>
      <c r="AB1050" s="81" t="s">
        <v>1005</v>
      </c>
      <c r="AC1050" s="81" t="n">
        <v>542</v>
      </c>
      <c r="AD1050" s="81" t="s">
        <v>1005</v>
      </c>
      <c r="AE1050" s="90" t="n">
        <v>542</v>
      </c>
      <c r="AF1050" s="81" t="s">
        <v>1005</v>
      </c>
      <c r="AG1050" s="81" t="n">
        <f aca="false">168+149+150+166</f>
        <v>633</v>
      </c>
      <c r="AH1050" s="81" t="s">
        <v>1005</v>
      </c>
      <c r="AI1050" s="81" t="n">
        <f aca="false">265+223+218+176</f>
        <v>882</v>
      </c>
      <c r="AJ1050" s="81" t="s">
        <v>1005</v>
      </c>
      <c r="AK1050" s="81" t="n">
        <f aca="false">280+203+318+235</f>
        <v>1036</v>
      </c>
      <c r="AL1050" s="81" t="s">
        <v>1005</v>
      </c>
      <c r="AM1050" s="81" t="n">
        <f aca="false">O1050+Q1050+S1050+U1050+W1050+Y1050+AA1050+AC1050+AE1050+AG1050+AI1050+AK1050</f>
        <v>8732</v>
      </c>
    </row>
    <row collapsed="false" customFormat="false" customHeight="true" hidden="false" ht="16.2" outlineLevel="0" r="1051">
      <c r="A1051" s="80" t="n">
        <v>539</v>
      </c>
      <c r="B1051" s="81" t="s">
        <v>740</v>
      </c>
      <c r="C1051" s="82" t="s">
        <v>1033</v>
      </c>
      <c r="D1051" s="82" t="s">
        <v>1034</v>
      </c>
      <c r="E1051" s="83" t="s">
        <v>1035</v>
      </c>
      <c r="F1051" s="84" t="s">
        <v>1036</v>
      </c>
      <c r="G1051" s="85"/>
      <c r="H1051" s="85"/>
      <c r="I1051" s="85"/>
      <c r="J1051" s="85"/>
      <c r="K1051" s="86" t="s">
        <v>53</v>
      </c>
      <c r="L1051" s="86" t="s">
        <v>53</v>
      </c>
      <c r="M1051" s="90"/>
      <c r="N1051" s="90"/>
      <c r="O1051" s="90"/>
      <c r="P1051" s="90"/>
      <c r="Q1051" s="81"/>
      <c r="R1051" s="81"/>
      <c r="S1051" s="81"/>
      <c r="T1051" s="81"/>
      <c r="U1051" s="81"/>
      <c r="V1051" s="81"/>
      <c r="W1051" s="81"/>
      <c r="X1051" s="81"/>
      <c r="Y1051" s="81"/>
      <c r="Z1051" s="81"/>
      <c r="AA1051" s="81"/>
      <c r="AB1051" s="81"/>
      <c r="AC1051" s="81"/>
      <c r="AD1051" s="81"/>
      <c r="AE1051" s="90"/>
      <c r="AF1051" s="81"/>
      <c r="AG1051" s="81"/>
      <c r="AH1051" s="81"/>
      <c r="AI1051" s="81"/>
      <c r="AJ1051" s="81"/>
      <c r="AK1051" s="81"/>
      <c r="AL1051" s="81"/>
      <c r="AM1051" s="81" t="n">
        <f aca="false">O1051+Q1051+S1051+U1051+W1051+Y1051+AA1051+AC1051+AE1051+AG1051+AI1051+AK1051</f>
        <v>0</v>
      </c>
    </row>
    <row collapsed="false" customFormat="false" customHeight="true" hidden="false" ht="16.2" outlineLevel="0" r="1052">
      <c r="A1052" s="80"/>
      <c r="B1052" s="89"/>
      <c r="C1052" s="85"/>
      <c r="D1052" s="85"/>
      <c r="E1052" s="83" t="s">
        <v>1037</v>
      </c>
      <c r="F1052" s="84" t="s">
        <v>1036</v>
      </c>
      <c r="G1052" s="85"/>
      <c r="H1052" s="85"/>
      <c r="I1052" s="85"/>
      <c r="J1052" s="85"/>
      <c r="K1052" s="86"/>
      <c r="L1052" s="86"/>
      <c r="M1052" s="90" t="n">
        <f aca="false">2967+2206</f>
        <v>5173</v>
      </c>
      <c r="N1052" s="91" t="n">
        <f aca="false">3923+3462</f>
        <v>7385</v>
      </c>
      <c r="O1052" s="90" t="n">
        <v>775</v>
      </c>
      <c r="P1052" s="90" t="s">
        <v>1005</v>
      </c>
      <c r="Q1052" s="81" t="n">
        <v>647</v>
      </c>
      <c r="R1052" s="81"/>
      <c r="S1052" s="81" t="n">
        <v>563</v>
      </c>
      <c r="T1052" s="81" t="s">
        <v>1005</v>
      </c>
      <c r="U1052" s="81" t="n">
        <v>561</v>
      </c>
      <c r="V1052" s="81" t="s">
        <v>1005</v>
      </c>
      <c r="W1052" s="81" t="n">
        <v>453</v>
      </c>
      <c r="X1052" s="81" t="s">
        <v>1005</v>
      </c>
      <c r="Y1052" s="81" t="n">
        <v>267</v>
      </c>
      <c r="Z1052" s="81" t="s">
        <v>1005</v>
      </c>
      <c r="AA1052" s="81" t="n">
        <v>281</v>
      </c>
      <c r="AB1052" s="81" t="s">
        <v>1005</v>
      </c>
      <c r="AC1052" s="81" t="n">
        <v>458</v>
      </c>
      <c r="AD1052" s="81" t="s">
        <v>1005</v>
      </c>
      <c r="AE1052" s="90" t="n">
        <v>458</v>
      </c>
      <c r="AF1052" s="81" t="s">
        <v>1005</v>
      </c>
      <c r="AG1052" s="81" t="n">
        <f aca="false">254+233</f>
        <v>487</v>
      </c>
      <c r="AH1052" s="81" t="s">
        <v>1005</v>
      </c>
      <c r="AI1052" s="81" t="n">
        <f aca="false">374+273</f>
        <v>647</v>
      </c>
      <c r="AJ1052" s="81" t="s">
        <v>1005</v>
      </c>
      <c r="AK1052" s="81" t="n">
        <f aca="false">418+276</f>
        <v>694</v>
      </c>
      <c r="AL1052" s="81" t="s">
        <v>1005</v>
      </c>
      <c r="AM1052" s="81" t="n">
        <f aca="false">O1052+Q1052+S1052+U1052+W1052+Y1052+AA1052+AC1052+AE1052+AG1052+AI1052+AK1052</f>
        <v>6291</v>
      </c>
    </row>
    <row collapsed="false" customFormat="false" customHeight="true" hidden="false" ht="16.2" outlineLevel="0" r="1053">
      <c r="A1053" s="80" t="n">
        <v>540</v>
      </c>
      <c r="B1053" s="81" t="s">
        <v>741</v>
      </c>
      <c r="C1053" s="82" t="s">
        <v>1033</v>
      </c>
      <c r="D1053" s="82" t="s">
        <v>1034</v>
      </c>
      <c r="E1053" s="83" t="s">
        <v>1035</v>
      </c>
      <c r="F1053" s="84" t="s">
        <v>1036</v>
      </c>
      <c r="G1053" s="85"/>
      <c r="H1053" s="85"/>
      <c r="I1053" s="85"/>
      <c r="J1053" s="85"/>
      <c r="K1053" s="86" t="s">
        <v>53</v>
      </c>
      <c r="L1053" s="86" t="s">
        <v>53</v>
      </c>
      <c r="M1053" s="90"/>
      <c r="N1053" s="90"/>
      <c r="O1053" s="90"/>
      <c r="P1053" s="90"/>
      <c r="Q1053" s="81"/>
      <c r="R1053" s="81"/>
      <c r="S1053" s="81"/>
      <c r="T1053" s="81"/>
      <c r="U1053" s="81"/>
      <c r="V1053" s="81"/>
      <c r="W1053" s="81"/>
      <c r="X1053" s="81"/>
      <c r="Y1053" s="81"/>
      <c r="Z1053" s="81"/>
      <c r="AA1053" s="81"/>
      <c r="AB1053" s="81"/>
      <c r="AC1053" s="81"/>
      <c r="AD1053" s="81"/>
      <c r="AE1053" s="90"/>
      <c r="AF1053" s="81"/>
      <c r="AG1053" s="81"/>
      <c r="AH1053" s="81"/>
      <c r="AI1053" s="81"/>
      <c r="AJ1053" s="81"/>
      <c r="AK1053" s="81"/>
      <c r="AL1053" s="81"/>
      <c r="AM1053" s="81" t="n">
        <f aca="false">O1053+Q1053+S1053+U1053+W1053+Y1053+AA1053+AC1053+AE1053+AG1053+AI1053+AK1053</f>
        <v>0</v>
      </c>
    </row>
    <row collapsed="false" customFormat="false" customHeight="true" hidden="false" ht="16.2" outlineLevel="0" r="1054">
      <c r="A1054" s="80"/>
      <c r="B1054" s="89"/>
      <c r="C1054" s="85"/>
      <c r="D1054" s="85"/>
      <c r="E1054" s="83" t="s">
        <v>1037</v>
      </c>
      <c r="F1054" s="84" t="s">
        <v>1036</v>
      </c>
      <c r="G1054" s="85"/>
      <c r="H1054" s="85"/>
      <c r="I1054" s="85"/>
      <c r="J1054" s="85"/>
      <c r="K1054" s="86"/>
      <c r="L1054" s="86"/>
      <c r="M1054" s="90" t="n">
        <f aca="false">1873+1634</f>
        <v>3507</v>
      </c>
      <c r="N1054" s="91" t="n">
        <f aca="false">2849+2728</f>
        <v>5577</v>
      </c>
      <c r="O1054" s="90" t="n">
        <v>794</v>
      </c>
      <c r="P1054" s="90" t="s">
        <v>1005</v>
      </c>
      <c r="Q1054" s="81" t="n">
        <v>716</v>
      </c>
      <c r="R1054" s="81"/>
      <c r="S1054" s="81" t="n">
        <v>639</v>
      </c>
      <c r="T1054" s="81" t="s">
        <v>1005</v>
      </c>
      <c r="U1054" s="81" t="n">
        <v>473</v>
      </c>
      <c r="V1054" s="81" t="s">
        <v>1005</v>
      </c>
      <c r="W1054" s="81" t="n">
        <v>318</v>
      </c>
      <c r="X1054" s="81" t="s">
        <v>1005</v>
      </c>
      <c r="Y1054" s="81" t="n">
        <v>328</v>
      </c>
      <c r="Z1054" s="81" t="s">
        <v>1005</v>
      </c>
      <c r="AA1054" s="81" t="n">
        <v>230</v>
      </c>
      <c r="AB1054" s="81" t="s">
        <v>1005</v>
      </c>
      <c r="AC1054" s="81" t="n">
        <v>459</v>
      </c>
      <c r="AD1054" s="81" t="s">
        <v>1005</v>
      </c>
      <c r="AE1054" s="90" t="n">
        <v>459</v>
      </c>
      <c r="AF1054" s="81" t="s">
        <v>1005</v>
      </c>
      <c r="AG1054" s="81" t="n">
        <f aca="false">302+307</f>
        <v>609</v>
      </c>
      <c r="AH1054" s="81" t="s">
        <v>1005</v>
      </c>
      <c r="AI1054" s="81" t="n">
        <f aca="false">406+334</f>
        <v>740</v>
      </c>
      <c r="AJ1054" s="81" t="s">
        <v>1005</v>
      </c>
      <c r="AK1054" s="81" t="n">
        <f aca="false">254+165</f>
        <v>419</v>
      </c>
      <c r="AL1054" s="81" t="s">
        <v>1005</v>
      </c>
      <c r="AM1054" s="81" t="n">
        <f aca="false">O1054+Q1054+S1054+U1054+W1054+Y1054+AA1054+AC1054+AE1054+AG1054+AI1054+AK1054</f>
        <v>6184</v>
      </c>
    </row>
    <row collapsed="false" customFormat="false" customHeight="true" hidden="false" ht="16.2" outlineLevel="0" r="1055">
      <c r="A1055" s="80" t="n">
        <v>541</v>
      </c>
      <c r="B1055" s="81" t="s">
        <v>742</v>
      </c>
      <c r="C1055" s="82" t="s">
        <v>1033</v>
      </c>
      <c r="D1055" s="82" t="s">
        <v>1034</v>
      </c>
      <c r="E1055" s="83" t="s">
        <v>1035</v>
      </c>
      <c r="F1055" s="84" t="s">
        <v>1036</v>
      </c>
      <c r="G1055" s="85"/>
      <c r="H1055" s="85"/>
      <c r="I1055" s="85"/>
      <c r="J1055" s="85"/>
      <c r="K1055" s="86" t="s">
        <v>53</v>
      </c>
      <c r="L1055" s="86" t="s">
        <v>53</v>
      </c>
      <c r="M1055" s="90" t="n">
        <f aca="false">15084+3040</f>
        <v>18124</v>
      </c>
      <c r="N1055" s="90" t="n">
        <f aca="false">18893+4539</f>
        <v>23432</v>
      </c>
      <c r="O1055" s="90"/>
      <c r="P1055" s="90"/>
      <c r="Q1055" s="81"/>
      <c r="R1055" s="81"/>
      <c r="S1055" s="81"/>
      <c r="T1055" s="81"/>
      <c r="U1055" s="81"/>
      <c r="V1055" s="81"/>
      <c r="W1055" s="81"/>
      <c r="X1055" s="81"/>
      <c r="Y1055" s="81" t="n">
        <v>2580</v>
      </c>
      <c r="Z1055" s="81"/>
      <c r="AA1055" s="81" t="n">
        <v>2235</v>
      </c>
      <c r="AB1055" s="81"/>
      <c r="AC1055" s="81" t="n">
        <v>2775</v>
      </c>
      <c r="AD1055" s="81"/>
      <c r="AE1055" s="90" t="n">
        <v>2775</v>
      </c>
      <c r="AF1055" s="81"/>
      <c r="AG1055" s="81" t="n">
        <f aca="false">1980+450</f>
        <v>2430</v>
      </c>
      <c r="AH1055" s="81"/>
      <c r="AI1055" s="81" t="n">
        <f aca="false">2325+510</f>
        <v>2835</v>
      </c>
      <c r="AJ1055" s="81"/>
      <c r="AK1055" s="81" t="n">
        <f aca="false">1890+405</f>
        <v>2295</v>
      </c>
      <c r="AL1055" s="81"/>
      <c r="AM1055" s="81" t="n">
        <f aca="false">O1055+Q1055+S1055+U1055+W1055+Y1055+AA1055+AC1055+AE1055+AG1055+AI1055+AK1055</f>
        <v>17925</v>
      </c>
    </row>
    <row collapsed="false" customFormat="false" customHeight="true" hidden="false" ht="16.2" outlineLevel="0" r="1056">
      <c r="A1056" s="80"/>
      <c r="B1056" s="89"/>
      <c r="C1056" s="85"/>
      <c r="D1056" s="85"/>
      <c r="E1056" s="83" t="s">
        <v>1037</v>
      </c>
      <c r="F1056" s="84" t="s">
        <v>1036</v>
      </c>
      <c r="G1056" s="85"/>
      <c r="H1056" s="85"/>
      <c r="I1056" s="85"/>
      <c r="J1056" s="85"/>
      <c r="K1056" s="86"/>
      <c r="L1056" s="86"/>
      <c r="M1056" s="90" t="n">
        <f aca="false">5853+3780</f>
        <v>9633</v>
      </c>
      <c r="N1056" s="91" t="n">
        <f aca="false">1143+2375</f>
        <v>3518</v>
      </c>
      <c r="O1056" s="90" t="n">
        <v>472</v>
      </c>
      <c r="P1056" s="90" t="s">
        <v>1005</v>
      </c>
      <c r="Q1056" s="81" t="n">
        <v>3236</v>
      </c>
      <c r="R1056" s="81" t="s">
        <v>1061</v>
      </c>
      <c r="S1056" s="81" t="n">
        <v>3084</v>
      </c>
      <c r="T1056" s="81" t="s">
        <v>1061</v>
      </c>
      <c r="U1056" s="81" t="n">
        <v>3084</v>
      </c>
      <c r="V1056" s="81" t="s">
        <v>1061</v>
      </c>
      <c r="W1056" s="81" t="n">
        <v>3195</v>
      </c>
      <c r="X1056" s="81" t="s">
        <v>1005</v>
      </c>
      <c r="Y1056" s="81" t="n">
        <v>392</v>
      </c>
      <c r="Z1056" s="81" t="s">
        <v>1005</v>
      </c>
      <c r="AA1056" s="81" t="n">
        <v>378</v>
      </c>
      <c r="AB1056" s="81" t="s">
        <v>1005</v>
      </c>
      <c r="AC1056" s="81" t="n">
        <v>1030</v>
      </c>
      <c r="AD1056" s="81" t="s">
        <v>1005</v>
      </c>
      <c r="AE1056" s="90" t="n">
        <v>1030</v>
      </c>
      <c r="AF1056" s="81" t="s">
        <v>1005</v>
      </c>
      <c r="AG1056" s="81" t="n">
        <f aca="false">545+621</f>
        <v>1166</v>
      </c>
      <c r="AH1056" s="81" t="s">
        <v>1005</v>
      </c>
      <c r="AI1056" s="81" t="n">
        <f aca="false">909+784</f>
        <v>1693</v>
      </c>
      <c r="AJ1056" s="81" t="s">
        <v>1005</v>
      </c>
      <c r="AK1056" s="81" t="n">
        <f aca="false">902+674</f>
        <v>1576</v>
      </c>
      <c r="AL1056" s="81" t="s">
        <v>1005</v>
      </c>
      <c r="AM1056" s="81" t="n">
        <f aca="false">O1056+Q1056+S1056+U1056+W1056+Y1056+AA1056+AC1056+AE1056+AG1056+AI1056+AK1056</f>
        <v>20336</v>
      </c>
    </row>
    <row collapsed="false" customFormat="false" customHeight="true" hidden="false" ht="16.2" outlineLevel="0" r="1057">
      <c r="A1057" s="80" t="n">
        <v>542</v>
      </c>
      <c r="B1057" s="81" t="s">
        <v>743</v>
      </c>
      <c r="C1057" s="82" t="s">
        <v>1033</v>
      </c>
      <c r="D1057" s="82" t="s">
        <v>1034</v>
      </c>
      <c r="E1057" s="83" t="s">
        <v>1035</v>
      </c>
      <c r="F1057" s="84" t="s">
        <v>1036</v>
      </c>
      <c r="G1057" s="85"/>
      <c r="H1057" s="85"/>
      <c r="I1057" s="85"/>
      <c r="J1057" s="85"/>
      <c r="K1057" s="86" t="s">
        <v>53</v>
      </c>
      <c r="L1057" s="86" t="s">
        <v>53</v>
      </c>
      <c r="M1057" s="90" t="n">
        <f aca="false">1973+1869</f>
        <v>3842</v>
      </c>
      <c r="N1057" s="90" t="n">
        <f aca="false">2244+1632</f>
        <v>3876</v>
      </c>
      <c r="O1057" s="90" t="n">
        <v>348</v>
      </c>
      <c r="P1057" s="90"/>
      <c r="Q1057" s="81" t="n">
        <v>304</v>
      </c>
      <c r="R1057" s="81"/>
      <c r="S1057" s="81" t="n">
        <v>320</v>
      </c>
      <c r="T1057" s="81"/>
      <c r="U1057" s="81" t="n">
        <v>316</v>
      </c>
      <c r="V1057" s="81"/>
      <c r="W1057" s="81" t="n">
        <v>384</v>
      </c>
      <c r="X1057" s="81"/>
      <c r="Y1057" s="81" t="n">
        <v>364</v>
      </c>
      <c r="Z1057" s="81"/>
      <c r="AA1057" s="81" t="n">
        <v>320</v>
      </c>
      <c r="AB1057" s="81"/>
      <c r="AC1057" s="81" t="n">
        <v>308</v>
      </c>
      <c r="AD1057" s="81"/>
      <c r="AE1057" s="90" t="n">
        <v>308</v>
      </c>
      <c r="AF1057" s="81"/>
      <c r="AG1057" s="81" t="n">
        <f aca="false">204+144</f>
        <v>348</v>
      </c>
      <c r="AH1057" s="81"/>
      <c r="AI1057" s="81" t="n">
        <f aca="false">212+152</f>
        <v>364</v>
      </c>
      <c r="AJ1057" s="81"/>
      <c r="AK1057" s="81" t="n">
        <f aca="false">184+120</f>
        <v>304</v>
      </c>
      <c r="AL1057" s="81"/>
      <c r="AM1057" s="81" t="n">
        <f aca="false">O1057+Q1057+S1057+U1057+W1057+Y1057+AA1057+AC1057+AE1057+AG1057+AI1057+AK1057</f>
        <v>3988</v>
      </c>
    </row>
    <row collapsed="false" customFormat="false" customHeight="true" hidden="false" ht="16.2" outlineLevel="0" r="1058">
      <c r="A1058" s="80"/>
      <c r="B1058" s="89"/>
      <c r="C1058" s="85"/>
      <c r="D1058" s="85"/>
      <c r="E1058" s="83" t="s">
        <v>1037</v>
      </c>
      <c r="F1058" s="84" t="s">
        <v>1036</v>
      </c>
      <c r="G1058" s="85"/>
      <c r="H1058" s="85"/>
      <c r="I1058" s="85"/>
      <c r="J1058" s="85"/>
      <c r="K1058" s="86"/>
      <c r="L1058" s="86"/>
      <c r="M1058" s="90" t="n">
        <f aca="false">4815+4067</f>
        <v>8882</v>
      </c>
      <c r="N1058" s="91" t="n">
        <f aca="false">6306+5214</f>
        <v>11520</v>
      </c>
      <c r="O1058" s="90" t="n">
        <v>1103</v>
      </c>
      <c r="P1058" s="90" t="s">
        <v>1005</v>
      </c>
      <c r="Q1058" s="81" t="n">
        <v>1023</v>
      </c>
      <c r="R1058" s="81"/>
      <c r="S1058" s="81" t="n">
        <v>949</v>
      </c>
      <c r="T1058" s="81" t="s">
        <v>1005</v>
      </c>
      <c r="U1058" s="81" t="n">
        <v>972</v>
      </c>
      <c r="V1058" s="81" t="s">
        <v>1005</v>
      </c>
      <c r="W1058" s="81" t="n">
        <v>1071</v>
      </c>
      <c r="X1058" s="81" t="s">
        <v>1005</v>
      </c>
      <c r="Y1058" s="81" t="n">
        <v>919</v>
      </c>
      <c r="Z1058" s="81" t="s">
        <v>1005</v>
      </c>
      <c r="AA1058" s="81" t="n">
        <v>761</v>
      </c>
      <c r="AB1058" s="81" t="s">
        <v>1005</v>
      </c>
      <c r="AC1058" s="81" t="n">
        <v>859</v>
      </c>
      <c r="AD1058" s="81" t="s">
        <v>1005</v>
      </c>
      <c r="AE1058" s="90" t="n">
        <v>859</v>
      </c>
      <c r="AF1058" s="81" t="s">
        <v>1005</v>
      </c>
      <c r="AG1058" s="81" t="n">
        <f aca="false">587+490</f>
        <v>1077</v>
      </c>
      <c r="AH1058" s="81" t="s">
        <v>1005</v>
      </c>
      <c r="AI1058" s="81" t="n">
        <f aca="false">720+528</f>
        <v>1248</v>
      </c>
      <c r="AJ1058" s="81" t="s">
        <v>1005</v>
      </c>
      <c r="AK1058" s="81" t="n">
        <f aca="false">617+422</f>
        <v>1039</v>
      </c>
      <c r="AL1058" s="81" t="s">
        <v>1005</v>
      </c>
      <c r="AM1058" s="81" t="n">
        <f aca="false">O1058+Q1058+S1058+U1058+W1058+Y1058+AA1058+AC1058+AE1058+AG1058+AI1058+AK1058</f>
        <v>11880</v>
      </c>
    </row>
    <row collapsed="false" customFormat="false" customHeight="true" hidden="false" ht="16.2" outlineLevel="0" r="1059">
      <c r="A1059" s="80" t="n">
        <v>543</v>
      </c>
      <c r="B1059" s="81" t="s">
        <v>744</v>
      </c>
      <c r="C1059" s="82" t="s">
        <v>1033</v>
      </c>
      <c r="D1059" s="82" t="s">
        <v>1034</v>
      </c>
      <c r="E1059" s="83" t="s">
        <v>1035</v>
      </c>
      <c r="F1059" s="84" t="s">
        <v>1036</v>
      </c>
      <c r="G1059" s="85"/>
      <c r="H1059" s="85"/>
      <c r="I1059" s="85"/>
      <c r="J1059" s="85"/>
      <c r="K1059" s="86" t="s">
        <v>53</v>
      </c>
      <c r="L1059" s="86" t="s">
        <v>53</v>
      </c>
      <c r="M1059" s="90" t="n">
        <f aca="false">5094+1981+5496+1288</f>
        <v>13859</v>
      </c>
      <c r="N1059" s="90" t="n">
        <f aca="false">2990+840+4168+944</f>
        <v>8942</v>
      </c>
      <c r="O1059" s="90"/>
      <c r="P1059" s="90"/>
      <c r="Q1059" s="81"/>
      <c r="R1059" s="81"/>
      <c r="S1059" s="81"/>
      <c r="T1059" s="81"/>
      <c r="U1059" s="81"/>
      <c r="V1059" s="81"/>
      <c r="W1059" s="81"/>
      <c r="X1059" s="81"/>
      <c r="Y1059" s="81" t="n">
        <v>1325</v>
      </c>
      <c r="Z1059" s="81"/>
      <c r="AA1059" s="81" t="n">
        <v>1282</v>
      </c>
      <c r="AB1059" s="81"/>
      <c r="AC1059" s="81" t="n">
        <v>1491</v>
      </c>
      <c r="AD1059" s="81"/>
      <c r="AE1059" s="90" t="n">
        <v>1491</v>
      </c>
      <c r="AF1059" s="81"/>
      <c r="AG1059" s="81" t="n">
        <f aca="false">486+136+620+1417</f>
        <v>2659</v>
      </c>
      <c r="AH1059" s="81"/>
      <c r="AI1059" s="81" t="n">
        <f aca="false">583+170+352+77</f>
        <v>1182</v>
      </c>
      <c r="AJ1059" s="81"/>
      <c r="AK1059" s="81" t="n">
        <f aca="false">473+137+532.33+123.67</f>
        <v>1266</v>
      </c>
      <c r="AL1059" s="81"/>
      <c r="AM1059" s="81" t="n">
        <f aca="false">O1059+Q1059+S1059+U1059+W1059+Y1059+AA1059+AC1059+AE1059+AG1059+AI1059+AK1059</f>
        <v>10696</v>
      </c>
    </row>
    <row collapsed="false" customFormat="false" customHeight="true" hidden="false" ht="16.2" outlineLevel="0" r="1060">
      <c r="A1060" s="80"/>
      <c r="B1060" s="89"/>
      <c r="C1060" s="85"/>
      <c r="D1060" s="85"/>
      <c r="E1060" s="83" t="s">
        <v>1037</v>
      </c>
      <c r="F1060" s="84" t="s">
        <v>1036</v>
      </c>
      <c r="G1060" s="85"/>
      <c r="H1060" s="85"/>
      <c r="I1060" s="85"/>
      <c r="J1060" s="85"/>
      <c r="K1060" s="86"/>
      <c r="L1060" s="86"/>
      <c r="M1060" s="90" t="n">
        <f aca="false">9774+3216+3235+1670+1953+3699+12050+9981+3678+1990</f>
        <v>51246</v>
      </c>
      <c r="N1060" s="91" t="n">
        <f aca="false">2867+1461+1378+2898+8977+7836+2355+1236</f>
        <v>29008</v>
      </c>
      <c r="O1060" s="90" t="n">
        <f aca="false">2092+3383+529</f>
        <v>6004</v>
      </c>
      <c r="P1060" s="90" t="s">
        <v>1005</v>
      </c>
      <c r="Q1060" s="81" t="n">
        <f aca="false">493+2809+1618</f>
        <v>4920</v>
      </c>
      <c r="R1060" s="81" t="s">
        <v>1061</v>
      </c>
      <c r="S1060" s="81" t="n">
        <f aca="false">1417+2603+468</f>
        <v>4488</v>
      </c>
      <c r="T1060" s="81" t="s">
        <v>1061</v>
      </c>
      <c r="U1060" s="81" t="n">
        <v>1885</v>
      </c>
      <c r="V1060" s="81" t="s">
        <v>1005</v>
      </c>
      <c r="W1060" s="81" t="n">
        <v>4841</v>
      </c>
      <c r="X1060" s="81" t="s">
        <v>1005</v>
      </c>
      <c r="Y1060" s="81" t="n">
        <v>2690</v>
      </c>
      <c r="Z1060" s="81" t="s">
        <v>1005</v>
      </c>
      <c r="AA1060" s="81" t="n">
        <v>1047</v>
      </c>
      <c r="AB1060" s="81" t="s">
        <v>1005</v>
      </c>
      <c r="AC1060" s="81" t="n">
        <v>3406</v>
      </c>
      <c r="AD1060" s="81" t="s">
        <v>1005</v>
      </c>
      <c r="AE1060" s="90" t="n">
        <v>3406</v>
      </c>
      <c r="AF1060" s="81" t="s">
        <v>1005</v>
      </c>
      <c r="AG1060" s="81" t="n">
        <f aca="false">193+343+336+170+1100+951+300+169</f>
        <v>3562</v>
      </c>
      <c r="AH1060" s="81" t="s">
        <v>1005</v>
      </c>
      <c r="AI1060" s="81" t="n">
        <f aca="false">350+392+392+199+1282+930+312+165</f>
        <v>4022</v>
      </c>
      <c r="AJ1060" s="81" t="s">
        <v>1005</v>
      </c>
      <c r="AK1060" s="81" t="n">
        <f aca="false">331+307+318+162+1365+979+293+154</f>
        <v>3909</v>
      </c>
      <c r="AL1060" s="81" t="s">
        <v>1005</v>
      </c>
      <c r="AM1060" s="81" t="n">
        <f aca="false">O1060+Q1060+S1060+U1060+W1060+Y1060+AA1060+AC1060+AE1060+AG1060+AI1060+AK1060</f>
        <v>44180</v>
      </c>
    </row>
    <row collapsed="false" customFormat="false" customHeight="true" hidden="false" ht="16.2" outlineLevel="0" r="1061">
      <c r="A1061" s="80" t="n">
        <v>544</v>
      </c>
      <c r="B1061" s="100" t="s">
        <v>746</v>
      </c>
      <c r="C1061" s="82" t="s">
        <v>1033</v>
      </c>
      <c r="D1061" s="92" t="s">
        <v>1056</v>
      </c>
      <c r="E1061" s="83" t="s">
        <v>1035</v>
      </c>
      <c r="F1061" s="49" t="s">
        <v>1036</v>
      </c>
      <c r="G1061" s="92"/>
      <c r="H1061" s="85"/>
      <c r="I1061" s="85"/>
      <c r="J1061" s="85"/>
      <c r="K1061" s="93"/>
      <c r="L1061" s="93"/>
      <c r="M1061" s="81"/>
      <c r="N1061" s="81"/>
      <c r="O1061" s="90"/>
      <c r="P1061" s="95"/>
      <c r="Q1061" s="81"/>
      <c r="R1061" s="95"/>
      <c r="S1061" s="81"/>
      <c r="T1061" s="95"/>
      <c r="U1061" s="81"/>
      <c r="V1061" s="95"/>
      <c r="W1061" s="81"/>
      <c r="X1061" s="95"/>
      <c r="Y1061" s="81"/>
      <c r="Z1061" s="95"/>
      <c r="AA1061" s="81"/>
      <c r="AB1061" s="95"/>
      <c r="AC1061" s="81"/>
      <c r="AD1061" s="95"/>
      <c r="AE1061" s="81"/>
      <c r="AF1061" s="95"/>
      <c r="AG1061" s="81"/>
      <c r="AH1061" s="95"/>
      <c r="AI1061" s="81"/>
      <c r="AJ1061" s="95"/>
      <c r="AK1061" s="81"/>
      <c r="AL1061" s="95"/>
      <c r="AM1061" s="81"/>
    </row>
    <row collapsed="false" customFormat="false" customHeight="true" hidden="false" ht="16.2" outlineLevel="0" r="1062">
      <c r="A1062" s="80"/>
      <c r="B1062" s="101"/>
      <c r="C1062" s="85"/>
      <c r="D1062" s="92"/>
      <c r="E1062" s="83" t="s">
        <v>1037</v>
      </c>
      <c r="F1062" s="49" t="s">
        <v>1036</v>
      </c>
      <c r="G1062" s="85" t="s">
        <v>1057</v>
      </c>
      <c r="H1062" s="85" t="n">
        <v>16</v>
      </c>
      <c r="I1062" s="85"/>
      <c r="J1062" s="85"/>
      <c r="K1062" s="93" t="s">
        <v>53</v>
      </c>
      <c r="L1062" s="93" t="s">
        <v>53</v>
      </c>
      <c r="M1062" s="81" t="n">
        <v>8153</v>
      </c>
      <c r="N1062" s="81" t="n">
        <v>986</v>
      </c>
      <c r="O1062" s="90" t="n">
        <v>38</v>
      </c>
      <c r="P1062" s="95" t="s">
        <v>1005</v>
      </c>
      <c r="Q1062" s="81" t="n">
        <v>67</v>
      </c>
      <c r="R1062" s="95" t="s">
        <v>1005</v>
      </c>
      <c r="S1062" s="81" t="n">
        <v>83</v>
      </c>
      <c r="T1062" s="95" t="s">
        <v>1005</v>
      </c>
      <c r="U1062" s="81" t="n">
        <v>121</v>
      </c>
      <c r="V1062" s="95" t="s">
        <v>1005</v>
      </c>
      <c r="W1062" s="81" t="n">
        <v>49</v>
      </c>
      <c r="X1062" s="95" t="s">
        <v>1005</v>
      </c>
      <c r="Y1062" s="81" t="n">
        <v>54</v>
      </c>
      <c r="Z1062" s="95" t="s">
        <v>1005</v>
      </c>
      <c r="AA1062" s="81" t="n">
        <v>38</v>
      </c>
      <c r="AB1062" s="95" t="s">
        <v>1005</v>
      </c>
      <c r="AC1062" s="81" t="n">
        <v>34</v>
      </c>
      <c r="AD1062" s="95" t="s">
        <v>1005</v>
      </c>
      <c r="AE1062" s="81" t="n">
        <v>167</v>
      </c>
      <c r="AF1062" s="95" t="s">
        <v>1005</v>
      </c>
      <c r="AG1062" s="81" t="n">
        <v>98</v>
      </c>
      <c r="AH1062" s="95" t="s">
        <v>1005</v>
      </c>
      <c r="AI1062" s="81" t="n">
        <v>127</v>
      </c>
      <c r="AJ1062" s="95" t="s">
        <v>1005</v>
      </c>
      <c r="AK1062" s="81" t="n">
        <v>122</v>
      </c>
      <c r="AL1062" s="95" t="s">
        <v>1005</v>
      </c>
      <c r="AM1062" s="81" t="n">
        <f aca="false">O1062+Q1062+S1062+U1062+W1062+Y1062+AA1062+AC1062+AE1062+AG1062+AI1062+AK1062</f>
        <v>998</v>
      </c>
    </row>
    <row collapsed="false" customFormat="false" customHeight="true" hidden="false" ht="16.2" outlineLevel="0" r="1063">
      <c r="A1063" s="80" t="n">
        <v>545</v>
      </c>
      <c r="B1063" s="81"/>
      <c r="C1063" s="82" t="s">
        <v>1033</v>
      </c>
      <c r="D1063" s="85"/>
      <c r="E1063" s="83" t="s">
        <v>1035</v>
      </c>
      <c r="F1063" s="49"/>
      <c r="G1063" s="85"/>
      <c r="H1063" s="85"/>
      <c r="I1063" s="85"/>
      <c r="J1063" s="85"/>
      <c r="K1063" s="85"/>
      <c r="L1063" s="85"/>
      <c r="M1063" s="81"/>
      <c r="N1063" s="81"/>
      <c r="O1063" s="96"/>
      <c r="P1063" s="81"/>
      <c r="Q1063" s="81"/>
      <c r="R1063" s="81"/>
      <c r="S1063" s="81"/>
      <c r="T1063" s="81"/>
      <c r="U1063" s="81"/>
      <c r="V1063" s="81"/>
      <c r="W1063" s="81"/>
      <c r="X1063" s="81"/>
      <c r="Y1063" s="81"/>
      <c r="Z1063" s="81"/>
      <c r="AA1063" s="81"/>
      <c r="AB1063" s="81"/>
      <c r="AC1063" s="81"/>
      <c r="AD1063" s="81"/>
      <c r="AE1063" s="81"/>
      <c r="AF1063" s="81"/>
      <c r="AG1063" s="81"/>
      <c r="AH1063" s="81"/>
      <c r="AI1063" s="81"/>
      <c r="AJ1063" s="81"/>
      <c r="AK1063" s="81"/>
      <c r="AL1063" s="81"/>
      <c r="AM1063" s="81"/>
    </row>
    <row collapsed="false" customFormat="false" customHeight="true" hidden="false" ht="16.2" outlineLevel="0" r="1064">
      <c r="A1064" s="80"/>
      <c r="B1064" s="81" t="s">
        <v>748</v>
      </c>
      <c r="C1064" s="85"/>
      <c r="D1064" s="85" t="s">
        <v>1054</v>
      </c>
      <c r="E1064" s="83" t="s">
        <v>1037</v>
      </c>
      <c r="F1064" s="49" t="s">
        <v>1036</v>
      </c>
      <c r="G1064" s="85" t="s">
        <v>1039</v>
      </c>
      <c r="H1064" s="85" t="n">
        <v>31</v>
      </c>
      <c r="I1064" s="85" t="s">
        <v>1039</v>
      </c>
      <c r="J1064" s="85" t="n">
        <v>4</v>
      </c>
      <c r="K1064" s="85" t="s">
        <v>1041</v>
      </c>
      <c r="L1064" s="85" t="s">
        <v>1041</v>
      </c>
      <c r="M1064" s="81" t="n">
        <v>4680</v>
      </c>
      <c r="N1064" s="81"/>
      <c r="O1064" s="96"/>
      <c r="P1064" s="81"/>
      <c r="Q1064" s="81"/>
      <c r="R1064" s="81"/>
      <c r="S1064" s="81"/>
      <c r="T1064" s="81"/>
      <c r="U1064" s="81"/>
      <c r="V1064" s="81"/>
      <c r="W1064" s="81"/>
      <c r="X1064" s="81"/>
      <c r="Y1064" s="81"/>
      <c r="Z1064" s="81"/>
      <c r="AA1064" s="81"/>
      <c r="AB1064" s="81"/>
      <c r="AC1064" s="81"/>
      <c r="AD1064" s="81"/>
      <c r="AE1064" s="81"/>
      <c r="AF1064" s="81"/>
      <c r="AG1064" s="81"/>
      <c r="AH1064" s="81"/>
      <c r="AI1064" s="81"/>
      <c r="AJ1064" s="81"/>
      <c r="AK1064" s="81"/>
      <c r="AL1064" s="81"/>
      <c r="AM1064" s="81"/>
    </row>
    <row collapsed="false" customFormat="false" customHeight="true" hidden="false" ht="16.2" outlineLevel="0" r="1065">
      <c r="A1065" s="80" t="n">
        <v>546</v>
      </c>
      <c r="B1065" s="81"/>
      <c r="C1065" s="82" t="s">
        <v>1033</v>
      </c>
      <c r="D1065" s="85"/>
      <c r="E1065" s="83" t="s">
        <v>1035</v>
      </c>
      <c r="F1065" s="49" t="s">
        <v>1036</v>
      </c>
      <c r="G1065" s="85"/>
      <c r="H1065" s="85"/>
      <c r="I1065" s="85"/>
      <c r="J1065" s="85"/>
      <c r="K1065" s="85"/>
      <c r="L1065" s="85"/>
      <c r="M1065" s="81"/>
      <c r="N1065" s="81"/>
      <c r="O1065" s="96"/>
      <c r="P1065" s="81"/>
      <c r="Q1065" s="81"/>
      <c r="R1065" s="81"/>
      <c r="S1065" s="81"/>
      <c r="T1065" s="81"/>
      <c r="U1065" s="81"/>
      <c r="V1065" s="81"/>
      <c r="W1065" s="81"/>
      <c r="X1065" s="81"/>
      <c r="Y1065" s="81"/>
      <c r="Z1065" s="81"/>
      <c r="AA1065" s="81"/>
      <c r="AB1065" s="81"/>
      <c r="AC1065" s="81"/>
      <c r="AD1065" s="81"/>
      <c r="AE1065" s="81"/>
      <c r="AF1065" s="81"/>
      <c r="AG1065" s="81"/>
      <c r="AH1065" s="81"/>
      <c r="AI1065" s="81"/>
      <c r="AJ1065" s="81"/>
      <c r="AK1065" s="81"/>
      <c r="AL1065" s="81"/>
      <c r="AM1065" s="81"/>
    </row>
    <row collapsed="false" customFormat="false" customHeight="true" hidden="false" ht="16.2" outlineLevel="0" r="1066">
      <c r="A1066" s="80"/>
      <c r="B1066" s="81" t="s">
        <v>749</v>
      </c>
      <c r="C1066" s="85"/>
      <c r="D1066" s="85" t="s">
        <v>1054</v>
      </c>
      <c r="E1066" s="83" t="s">
        <v>1037</v>
      </c>
      <c r="F1066" s="49" t="s">
        <v>1036</v>
      </c>
      <c r="G1066" s="85" t="s">
        <v>1039</v>
      </c>
      <c r="H1066" s="85" t="n">
        <v>32</v>
      </c>
      <c r="I1066" s="85" t="s">
        <v>1039</v>
      </c>
      <c r="J1066" s="85" t="n">
        <v>4</v>
      </c>
      <c r="K1066" s="85" t="s">
        <v>1041</v>
      </c>
      <c r="L1066" s="85" t="s">
        <v>1041</v>
      </c>
      <c r="M1066" s="81" t="n">
        <v>3378</v>
      </c>
      <c r="N1066" s="81"/>
      <c r="O1066" s="96"/>
      <c r="P1066" s="81"/>
      <c r="Q1066" s="81"/>
      <c r="R1066" s="81"/>
      <c r="S1066" s="81"/>
      <c r="T1066" s="81"/>
      <c r="U1066" s="81"/>
      <c r="V1066" s="81"/>
      <c r="W1066" s="81"/>
      <c r="X1066" s="81"/>
      <c r="Y1066" s="81"/>
      <c r="Z1066" s="81"/>
      <c r="AA1066" s="81"/>
      <c r="AB1066" s="81"/>
      <c r="AC1066" s="81"/>
      <c r="AD1066" s="81"/>
      <c r="AE1066" s="81"/>
      <c r="AF1066" s="81"/>
      <c r="AG1066" s="81"/>
      <c r="AH1066" s="81"/>
      <c r="AI1066" s="81"/>
      <c r="AJ1066" s="81"/>
      <c r="AK1066" s="81"/>
      <c r="AL1066" s="81"/>
      <c r="AM1066" s="81"/>
    </row>
    <row collapsed="false" customFormat="false" customHeight="true" hidden="false" ht="16.2" outlineLevel="0" r="1067">
      <c r="A1067" s="80" t="n">
        <v>547</v>
      </c>
      <c r="B1067" s="81"/>
      <c r="C1067" s="82" t="s">
        <v>1033</v>
      </c>
      <c r="D1067" s="85"/>
      <c r="E1067" s="83" t="s">
        <v>1035</v>
      </c>
      <c r="F1067" s="49" t="s">
        <v>1036</v>
      </c>
      <c r="G1067" s="85"/>
      <c r="H1067" s="85"/>
      <c r="I1067" s="85"/>
      <c r="J1067" s="85"/>
      <c r="K1067" s="85"/>
      <c r="L1067" s="85"/>
      <c r="M1067" s="81"/>
      <c r="N1067" s="81"/>
      <c r="O1067" s="96"/>
      <c r="P1067" s="81"/>
      <c r="Q1067" s="81"/>
      <c r="R1067" s="81"/>
      <c r="S1067" s="81"/>
      <c r="T1067" s="81"/>
      <c r="U1067" s="81"/>
      <c r="V1067" s="81"/>
      <c r="W1067" s="81"/>
      <c r="X1067" s="81"/>
      <c r="Y1067" s="81"/>
      <c r="Z1067" s="81"/>
      <c r="AA1067" s="81"/>
      <c r="AB1067" s="81"/>
      <c r="AC1067" s="81"/>
      <c r="AD1067" s="81"/>
      <c r="AE1067" s="81"/>
      <c r="AF1067" s="81"/>
      <c r="AG1067" s="81"/>
      <c r="AH1067" s="81"/>
      <c r="AI1067" s="81"/>
      <c r="AJ1067" s="81"/>
      <c r="AK1067" s="81"/>
      <c r="AL1067" s="81"/>
      <c r="AM1067" s="81"/>
    </row>
    <row collapsed="false" customFormat="false" customHeight="true" hidden="false" ht="16.2" outlineLevel="0" r="1068">
      <c r="A1068" s="80"/>
      <c r="B1068" s="81" t="s">
        <v>750</v>
      </c>
      <c r="C1068" s="85"/>
      <c r="D1068" s="85" t="s">
        <v>1054</v>
      </c>
      <c r="E1068" s="83" t="s">
        <v>1037</v>
      </c>
      <c r="F1068" s="49" t="s">
        <v>1036</v>
      </c>
      <c r="G1068" s="85" t="s">
        <v>1039</v>
      </c>
      <c r="H1068" s="85" t="n">
        <v>34</v>
      </c>
      <c r="I1068" s="85" t="s">
        <v>1039</v>
      </c>
      <c r="J1068" s="85" t="n">
        <v>4</v>
      </c>
      <c r="K1068" s="85" t="s">
        <v>1041</v>
      </c>
      <c r="L1068" s="85" t="s">
        <v>1041</v>
      </c>
      <c r="M1068" s="81" t="n">
        <v>7992</v>
      </c>
      <c r="N1068" s="81"/>
      <c r="O1068" s="96"/>
      <c r="P1068" s="81"/>
      <c r="Q1068" s="81"/>
      <c r="R1068" s="81"/>
      <c r="S1068" s="81"/>
      <c r="T1068" s="81"/>
      <c r="U1068" s="81"/>
      <c r="V1068" s="81"/>
      <c r="W1068" s="81"/>
      <c r="X1068" s="81"/>
      <c r="Y1068" s="81"/>
      <c r="Z1068" s="81"/>
      <c r="AA1068" s="81"/>
      <c r="AB1068" s="81"/>
      <c r="AC1068" s="81"/>
      <c r="AD1068" s="81"/>
      <c r="AE1068" s="81"/>
      <c r="AF1068" s="81"/>
      <c r="AG1068" s="81"/>
      <c r="AH1068" s="81"/>
      <c r="AI1068" s="81"/>
      <c r="AJ1068" s="81"/>
      <c r="AK1068" s="81"/>
      <c r="AL1068" s="81"/>
      <c r="AM1068" s="81"/>
    </row>
    <row collapsed="false" customFormat="false" customHeight="true" hidden="false" ht="16.2" outlineLevel="0" r="1069">
      <c r="A1069" s="80" t="n">
        <v>548</v>
      </c>
      <c r="B1069" s="81"/>
      <c r="C1069" s="82" t="s">
        <v>1033</v>
      </c>
      <c r="D1069" s="85"/>
      <c r="E1069" s="83" t="s">
        <v>1035</v>
      </c>
      <c r="F1069" s="49" t="s">
        <v>1036</v>
      </c>
      <c r="G1069" s="85"/>
      <c r="H1069" s="85"/>
      <c r="I1069" s="85"/>
      <c r="J1069" s="85"/>
      <c r="K1069" s="85"/>
      <c r="L1069" s="85"/>
      <c r="M1069" s="81" t="n">
        <v>5340</v>
      </c>
      <c r="N1069" s="81"/>
      <c r="O1069" s="96"/>
      <c r="P1069" s="81"/>
      <c r="Q1069" s="81"/>
      <c r="R1069" s="81"/>
      <c r="S1069" s="81"/>
      <c r="T1069" s="81"/>
      <c r="U1069" s="81"/>
      <c r="V1069" s="81"/>
      <c r="W1069" s="81"/>
      <c r="X1069" s="81"/>
      <c r="Y1069" s="81"/>
      <c r="Z1069" s="81"/>
      <c r="AA1069" s="81"/>
      <c r="AB1069" s="81"/>
      <c r="AC1069" s="81"/>
      <c r="AD1069" s="81"/>
      <c r="AE1069" s="81"/>
      <c r="AF1069" s="81"/>
      <c r="AG1069" s="81"/>
      <c r="AH1069" s="81"/>
      <c r="AI1069" s="81"/>
      <c r="AJ1069" s="81"/>
      <c r="AK1069" s="81"/>
      <c r="AL1069" s="81"/>
      <c r="AM1069" s="81"/>
    </row>
    <row collapsed="false" customFormat="false" customHeight="true" hidden="false" ht="16.2" outlineLevel="0" r="1070">
      <c r="A1070" s="80"/>
      <c r="B1070" s="81" t="s">
        <v>751</v>
      </c>
      <c r="C1070" s="85"/>
      <c r="D1070" s="85" t="s">
        <v>1054</v>
      </c>
      <c r="E1070" s="83" t="s">
        <v>1037</v>
      </c>
      <c r="F1070" s="49" t="s">
        <v>1036</v>
      </c>
      <c r="G1070" s="85" t="s">
        <v>1039</v>
      </c>
      <c r="H1070" s="85" t="n">
        <v>27</v>
      </c>
      <c r="I1070" s="85" t="s">
        <v>1039</v>
      </c>
      <c r="J1070" s="85" t="n">
        <v>4</v>
      </c>
      <c r="K1070" s="85" t="s">
        <v>1041</v>
      </c>
      <c r="L1070" s="85" t="s">
        <v>1041</v>
      </c>
      <c r="M1070" s="81" t="n">
        <v>5340</v>
      </c>
      <c r="N1070" s="81"/>
      <c r="O1070" s="96"/>
      <c r="P1070" s="81"/>
      <c r="Q1070" s="81"/>
      <c r="R1070" s="81"/>
      <c r="S1070" s="81"/>
      <c r="T1070" s="81"/>
      <c r="U1070" s="81"/>
      <c r="V1070" s="81"/>
      <c r="W1070" s="81"/>
      <c r="X1070" s="81"/>
      <c r="Y1070" s="81"/>
      <c r="Z1070" s="81"/>
      <c r="AA1070" s="81"/>
      <c r="AB1070" s="81"/>
      <c r="AC1070" s="81"/>
      <c r="AD1070" s="81"/>
      <c r="AE1070" s="81"/>
      <c r="AF1070" s="81"/>
      <c r="AG1070" s="81"/>
      <c r="AH1070" s="81"/>
      <c r="AI1070" s="81"/>
      <c r="AJ1070" s="81"/>
      <c r="AK1070" s="81"/>
      <c r="AL1070" s="81"/>
      <c r="AM1070" s="81"/>
    </row>
    <row collapsed="false" customFormat="false" customHeight="true" hidden="false" ht="16.2" outlineLevel="0" r="1071">
      <c r="A1071" s="80" t="n">
        <v>549</v>
      </c>
      <c r="B1071" s="81"/>
      <c r="C1071" s="82" t="s">
        <v>1033</v>
      </c>
      <c r="D1071" s="85"/>
      <c r="E1071" s="83" t="s">
        <v>1035</v>
      </c>
      <c r="F1071" s="49" t="s">
        <v>1036</v>
      </c>
      <c r="G1071" s="85"/>
      <c r="H1071" s="85"/>
      <c r="I1071" s="85"/>
      <c r="J1071" s="85"/>
      <c r="K1071" s="85"/>
      <c r="L1071" s="85"/>
      <c r="M1071" s="81"/>
      <c r="N1071" s="81"/>
      <c r="O1071" s="96"/>
      <c r="P1071" s="81"/>
      <c r="Q1071" s="81"/>
      <c r="R1071" s="81"/>
      <c r="S1071" s="81"/>
      <c r="T1071" s="81"/>
      <c r="U1071" s="81"/>
      <c r="V1071" s="81"/>
      <c r="W1071" s="81"/>
      <c r="X1071" s="81"/>
      <c r="Y1071" s="81"/>
      <c r="Z1071" s="81"/>
      <c r="AA1071" s="81"/>
      <c r="AB1071" s="81"/>
      <c r="AC1071" s="81"/>
      <c r="AD1071" s="81"/>
      <c r="AE1071" s="81"/>
      <c r="AF1071" s="81"/>
      <c r="AG1071" s="81"/>
      <c r="AH1071" s="81"/>
      <c r="AI1071" s="81"/>
      <c r="AJ1071" s="81"/>
      <c r="AK1071" s="81"/>
      <c r="AL1071" s="81"/>
      <c r="AM1071" s="81"/>
    </row>
    <row collapsed="false" customFormat="false" customHeight="true" hidden="false" ht="16.2" outlineLevel="0" r="1072">
      <c r="A1072" s="80"/>
      <c r="B1072" s="81" t="s">
        <v>753</v>
      </c>
      <c r="C1072" s="85"/>
      <c r="D1072" s="85" t="s">
        <v>1054</v>
      </c>
      <c r="E1072" s="83" t="s">
        <v>1037</v>
      </c>
      <c r="F1072" s="49" t="s">
        <v>1036</v>
      </c>
      <c r="G1072" s="85" t="s">
        <v>1039</v>
      </c>
      <c r="H1072" s="85" t="n">
        <v>60</v>
      </c>
      <c r="I1072" s="85" t="s">
        <v>1039</v>
      </c>
      <c r="J1072" s="85" t="n">
        <v>4</v>
      </c>
      <c r="K1072" s="85" t="s">
        <v>1041</v>
      </c>
      <c r="L1072" s="85" t="s">
        <v>1041</v>
      </c>
      <c r="M1072" s="81" t="n">
        <v>0</v>
      </c>
      <c r="N1072" s="81"/>
      <c r="O1072" s="96"/>
      <c r="P1072" s="81"/>
      <c r="Q1072" s="81"/>
      <c r="R1072" s="81"/>
      <c r="S1072" s="81"/>
      <c r="T1072" s="81"/>
      <c r="U1072" s="81"/>
      <c r="V1072" s="81"/>
      <c r="W1072" s="81"/>
      <c r="X1072" s="81"/>
      <c r="Y1072" s="81"/>
      <c r="Z1072" s="81"/>
      <c r="AA1072" s="81"/>
      <c r="AB1072" s="81"/>
      <c r="AC1072" s="81"/>
      <c r="AD1072" s="81"/>
      <c r="AE1072" s="81"/>
      <c r="AF1072" s="81"/>
      <c r="AG1072" s="81"/>
      <c r="AH1072" s="81"/>
      <c r="AI1072" s="81"/>
      <c r="AJ1072" s="81"/>
      <c r="AK1072" s="81"/>
      <c r="AL1072" s="81"/>
      <c r="AM1072" s="81"/>
    </row>
    <row collapsed="false" customFormat="false" customHeight="true" hidden="false" ht="16.2" outlineLevel="0" r="1073">
      <c r="A1073" s="80" t="n">
        <v>550</v>
      </c>
      <c r="B1073" s="81"/>
      <c r="C1073" s="82" t="s">
        <v>1033</v>
      </c>
      <c r="D1073" s="85"/>
      <c r="E1073" s="83" t="s">
        <v>1035</v>
      </c>
      <c r="F1073" s="49" t="s">
        <v>1036</v>
      </c>
      <c r="G1073" s="85"/>
      <c r="H1073" s="85"/>
      <c r="I1073" s="85"/>
      <c r="J1073" s="85"/>
      <c r="K1073" s="85"/>
      <c r="L1073" s="85"/>
      <c r="M1073" s="81" t="n">
        <v>9111</v>
      </c>
      <c r="N1073" s="81"/>
      <c r="O1073" s="96"/>
      <c r="P1073" s="81"/>
      <c r="Q1073" s="81"/>
      <c r="R1073" s="81"/>
      <c r="S1073" s="81"/>
      <c r="T1073" s="81"/>
      <c r="U1073" s="81"/>
      <c r="V1073" s="81"/>
      <c r="W1073" s="81"/>
      <c r="X1073" s="81"/>
      <c r="Y1073" s="81"/>
      <c r="Z1073" s="81"/>
      <c r="AA1073" s="81"/>
      <c r="AB1073" s="81"/>
      <c r="AC1073" s="81"/>
      <c r="AD1073" s="81"/>
      <c r="AE1073" s="81"/>
      <c r="AF1073" s="81"/>
      <c r="AG1073" s="81"/>
      <c r="AH1073" s="81"/>
      <c r="AI1073" s="81"/>
      <c r="AJ1073" s="81"/>
      <c r="AK1073" s="81"/>
      <c r="AL1073" s="81"/>
      <c r="AM1073" s="81"/>
    </row>
    <row collapsed="false" customFormat="false" customHeight="true" hidden="false" ht="16.2" outlineLevel="0" r="1074">
      <c r="A1074" s="80"/>
      <c r="B1074" s="81" t="s">
        <v>755</v>
      </c>
      <c r="C1074" s="85"/>
      <c r="D1074" s="85" t="s">
        <v>1054</v>
      </c>
      <c r="E1074" s="83" t="s">
        <v>1037</v>
      </c>
      <c r="F1074" s="49" t="s">
        <v>1036</v>
      </c>
      <c r="G1074" s="85" t="s">
        <v>1042</v>
      </c>
      <c r="H1074" s="85" t="n">
        <v>98</v>
      </c>
      <c r="I1074" s="85" t="s">
        <v>1059</v>
      </c>
      <c r="J1074" s="85" t="n">
        <v>5</v>
      </c>
      <c r="K1074" s="85" t="s">
        <v>1041</v>
      </c>
      <c r="L1074" s="85" t="s">
        <v>1041</v>
      </c>
      <c r="M1074" s="81" t="n">
        <v>9111</v>
      </c>
      <c r="N1074" s="81"/>
      <c r="O1074" s="96"/>
      <c r="P1074" s="81"/>
      <c r="Q1074" s="81"/>
      <c r="R1074" s="81"/>
      <c r="S1074" s="81"/>
      <c r="T1074" s="81"/>
      <c r="U1074" s="81"/>
      <c r="V1074" s="81"/>
      <c r="W1074" s="81"/>
      <c r="X1074" s="81"/>
      <c r="Y1074" s="81"/>
      <c r="Z1074" s="81"/>
      <c r="AA1074" s="81"/>
      <c r="AB1074" s="81"/>
      <c r="AC1074" s="81"/>
      <c r="AD1074" s="81"/>
      <c r="AE1074" s="81"/>
      <c r="AF1074" s="81"/>
      <c r="AG1074" s="81"/>
      <c r="AH1074" s="81"/>
      <c r="AI1074" s="81"/>
      <c r="AJ1074" s="81"/>
      <c r="AK1074" s="81"/>
      <c r="AL1074" s="81"/>
      <c r="AM1074" s="81"/>
    </row>
    <row collapsed="false" customFormat="false" customHeight="true" hidden="false" ht="16.2" outlineLevel="0" r="1075">
      <c r="A1075" s="80" t="n">
        <v>551</v>
      </c>
      <c r="B1075" s="81"/>
      <c r="C1075" s="82" t="s">
        <v>1033</v>
      </c>
      <c r="D1075" s="85"/>
      <c r="E1075" s="83" t="s">
        <v>1035</v>
      </c>
      <c r="F1075" s="49" t="s">
        <v>1036</v>
      </c>
      <c r="G1075" s="85"/>
      <c r="H1075" s="85"/>
      <c r="I1075" s="85"/>
      <c r="J1075" s="85"/>
      <c r="K1075" s="85"/>
      <c r="L1075" s="85"/>
      <c r="M1075" s="81" t="n">
        <v>6657</v>
      </c>
      <c r="N1075" s="81"/>
      <c r="O1075" s="96"/>
      <c r="P1075" s="81"/>
      <c r="Q1075" s="81"/>
      <c r="R1075" s="81"/>
      <c r="S1075" s="81"/>
      <c r="T1075" s="81"/>
      <c r="U1075" s="81"/>
      <c r="V1075" s="81"/>
      <c r="W1075" s="81"/>
      <c r="X1075" s="81"/>
      <c r="Y1075" s="81"/>
      <c r="Z1075" s="81"/>
      <c r="AA1075" s="81"/>
      <c r="AB1075" s="81"/>
      <c r="AC1075" s="81"/>
      <c r="AD1075" s="81"/>
      <c r="AE1075" s="81"/>
      <c r="AF1075" s="81"/>
      <c r="AG1075" s="81"/>
      <c r="AH1075" s="81"/>
      <c r="AI1075" s="81"/>
      <c r="AJ1075" s="81"/>
      <c r="AK1075" s="81"/>
      <c r="AL1075" s="81"/>
      <c r="AM1075" s="81"/>
    </row>
    <row collapsed="false" customFormat="false" customHeight="true" hidden="false" ht="16.2" outlineLevel="0" r="1076">
      <c r="A1076" s="80"/>
      <c r="B1076" s="81" t="s">
        <v>757</v>
      </c>
      <c r="C1076" s="85"/>
      <c r="D1076" s="85" t="s">
        <v>1054</v>
      </c>
      <c r="E1076" s="83" t="s">
        <v>1037</v>
      </c>
      <c r="F1076" s="49" t="s">
        <v>1036</v>
      </c>
      <c r="G1076" s="85" t="s">
        <v>1042</v>
      </c>
      <c r="H1076" s="85" t="n">
        <v>52</v>
      </c>
      <c r="I1076" s="85" t="s">
        <v>1059</v>
      </c>
      <c r="J1076" s="85" t="n">
        <v>2</v>
      </c>
      <c r="K1076" s="85" t="s">
        <v>1041</v>
      </c>
      <c r="L1076" s="85" t="s">
        <v>1041</v>
      </c>
      <c r="M1076" s="81" t="n">
        <v>6657</v>
      </c>
      <c r="N1076" s="81"/>
      <c r="O1076" s="96"/>
      <c r="P1076" s="81"/>
      <c r="Q1076" s="81"/>
      <c r="R1076" s="81"/>
      <c r="S1076" s="81"/>
      <c r="T1076" s="81"/>
      <c r="U1076" s="81"/>
      <c r="V1076" s="81"/>
      <c r="W1076" s="81"/>
      <c r="X1076" s="81"/>
      <c r="Y1076" s="81"/>
      <c r="Z1076" s="81"/>
      <c r="AA1076" s="81"/>
      <c r="AB1076" s="81"/>
      <c r="AC1076" s="81"/>
      <c r="AD1076" s="81"/>
      <c r="AE1076" s="81"/>
      <c r="AF1076" s="81"/>
      <c r="AG1076" s="81"/>
      <c r="AH1076" s="81"/>
      <c r="AI1076" s="81"/>
      <c r="AJ1076" s="81"/>
      <c r="AK1076" s="81"/>
      <c r="AL1076" s="81"/>
      <c r="AM1076" s="81"/>
    </row>
    <row collapsed="false" customFormat="false" customHeight="true" hidden="false" ht="16.2" outlineLevel="0" r="1077">
      <c r="A1077" s="80" t="n">
        <v>552</v>
      </c>
      <c r="B1077" s="81"/>
      <c r="C1077" s="82" t="s">
        <v>1033</v>
      </c>
      <c r="D1077" s="85"/>
      <c r="E1077" s="83" t="s">
        <v>1035</v>
      </c>
      <c r="F1077" s="49" t="s">
        <v>1036</v>
      </c>
      <c r="G1077" s="85"/>
      <c r="H1077" s="85"/>
      <c r="I1077" s="85"/>
      <c r="J1077" s="85"/>
      <c r="K1077" s="85"/>
      <c r="L1077" s="85"/>
      <c r="M1077" s="81" t="n">
        <v>13710</v>
      </c>
      <c r="N1077" s="81"/>
      <c r="O1077" s="96"/>
      <c r="P1077" s="81"/>
      <c r="Q1077" s="81"/>
      <c r="R1077" s="81"/>
      <c r="S1077" s="81"/>
      <c r="T1077" s="81"/>
      <c r="U1077" s="81"/>
      <c r="V1077" s="81"/>
      <c r="W1077" s="81"/>
      <c r="X1077" s="81"/>
      <c r="Y1077" s="81"/>
      <c r="Z1077" s="81"/>
      <c r="AA1077" s="81"/>
      <c r="AB1077" s="81"/>
      <c r="AC1077" s="81"/>
      <c r="AD1077" s="81"/>
      <c r="AE1077" s="81"/>
      <c r="AF1077" s="81"/>
      <c r="AG1077" s="81"/>
      <c r="AH1077" s="81"/>
      <c r="AI1077" s="81"/>
      <c r="AJ1077" s="81"/>
      <c r="AK1077" s="81"/>
      <c r="AL1077" s="81"/>
      <c r="AM1077" s="81"/>
    </row>
    <row collapsed="false" customFormat="false" customHeight="true" hidden="false" ht="16.2" outlineLevel="0" r="1078">
      <c r="A1078" s="80"/>
      <c r="B1078" s="81" t="s">
        <v>759</v>
      </c>
      <c r="C1078" s="85"/>
      <c r="D1078" s="85" t="s">
        <v>1054</v>
      </c>
      <c r="E1078" s="83" t="s">
        <v>1037</v>
      </c>
      <c r="F1078" s="49" t="s">
        <v>1036</v>
      </c>
      <c r="G1078" s="85" t="s">
        <v>1042</v>
      </c>
      <c r="H1078" s="85" t="n">
        <v>98</v>
      </c>
      <c r="I1078" s="85" t="s">
        <v>1059</v>
      </c>
      <c r="J1078" s="85" t="n">
        <v>4</v>
      </c>
      <c r="K1078" s="85" t="s">
        <v>1041</v>
      </c>
      <c r="L1078" s="85" t="s">
        <v>1041</v>
      </c>
      <c r="M1078" s="81" t="n">
        <v>13710</v>
      </c>
      <c r="N1078" s="81"/>
      <c r="O1078" s="96"/>
      <c r="P1078" s="81"/>
      <c r="Q1078" s="81"/>
      <c r="R1078" s="81"/>
      <c r="S1078" s="81"/>
      <c r="T1078" s="81"/>
      <c r="U1078" s="81"/>
      <c r="V1078" s="81"/>
      <c r="W1078" s="81"/>
      <c r="X1078" s="81"/>
      <c r="Y1078" s="81"/>
      <c r="Z1078" s="81"/>
      <c r="AA1078" s="81"/>
      <c r="AB1078" s="81"/>
      <c r="AC1078" s="81"/>
      <c r="AD1078" s="81"/>
      <c r="AE1078" s="81"/>
      <c r="AF1078" s="81"/>
      <c r="AG1078" s="81"/>
      <c r="AH1078" s="81"/>
      <c r="AI1078" s="81"/>
      <c r="AJ1078" s="81"/>
      <c r="AK1078" s="81"/>
      <c r="AL1078" s="81"/>
      <c r="AM1078" s="81"/>
    </row>
    <row collapsed="false" customFormat="false" customHeight="true" hidden="false" ht="16.2" outlineLevel="0" r="1079">
      <c r="A1079" s="80" t="n">
        <v>553</v>
      </c>
      <c r="B1079" s="81"/>
      <c r="C1079" s="82" t="s">
        <v>1033</v>
      </c>
      <c r="D1079" s="85"/>
      <c r="E1079" s="83" t="s">
        <v>1035</v>
      </c>
      <c r="F1079" s="49" t="s">
        <v>1036</v>
      </c>
      <c r="G1079" s="85"/>
      <c r="H1079" s="85"/>
      <c r="I1079" s="85"/>
      <c r="J1079" s="85"/>
      <c r="K1079" s="85"/>
      <c r="L1079" s="85"/>
      <c r="M1079" s="81" t="n">
        <v>8925</v>
      </c>
      <c r="N1079" s="81"/>
      <c r="O1079" s="96"/>
      <c r="P1079" s="81"/>
      <c r="Q1079" s="81"/>
      <c r="R1079" s="81"/>
      <c r="S1079" s="81"/>
      <c r="T1079" s="81"/>
      <c r="U1079" s="81"/>
      <c r="V1079" s="81"/>
      <c r="W1079" s="81"/>
      <c r="X1079" s="81"/>
      <c r="Y1079" s="81"/>
      <c r="Z1079" s="81"/>
      <c r="AA1079" s="81"/>
      <c r="AB1079" s="81"/>
      <c r="AC1079" s="81"/>
      <c r="AD1079" s="81"/>
      <c r="AE1079" s="81"/>
      <c r="AF1079" s="81"/>
      <c r="AG1079" s="81"/>
      <c r="AH1079" s="81"/>
      <c r="AI1079" s="81"/>
      <c r="AJ1079" s="81"/>
      <c r="AK1079" s="81"/>
      <c r="AL1079" s="81"/>
      <c r="AM1079" s="81"/>
    </row>
    <row collapsed="false" customFormat="false" customHeight="true" hidden="false" ht="16.2" outlineLevel="0" r="1080">
      <c r="A1080" s="80"/>
      <c r="B1080" s="81" t="s">
        <v>760</v>
      </c>
      <c r="C1080" s="85"/>
      <c r="D1080" s="85" t="s">
        <v>1054</v>
      </c>
      <c r="E1080" s="83" t="s">
        <v>1037</v>
      </c>
      <c r="F1080" s="49" t="s">
        <v>1036</v>
      </c>
      <c r="G1080" s="85" t="s">
        <v>1042</v>
      </c>
      <c r="H1080" s="85" t="n">
        <v>72</v>
      </c>
      <c r="I1080" s="85" t="s">
        <v>1059</v>
      </c>
      <c r="J1080" s="85" t="n">
        <v>5</v>
      </c>
      <c r="K1080" s="85" t="s">
        <v>1041</v>
      </c>
      <c r="L1080" s="85" t="s">
        <v>1041</v>
      </c>
      <c r="M1080" s="81" t="n">
        <v>8925</v>
      </c>
      <c r="N1080" s="81"/>
      <c r="O1080" s="96"/>
      <c r="P1080" s="81"/>
      <c r="Q1080" s="81"/>
      <c r="R1080" s="81"/>
      <c r="S1080" s="81"/>
      <c r="T1080" s="81"/>
      <c r="U1080" s="81"/>
      <c r="V1080" s="81"/>
      <c r="W1080" s="81"/>
      <c r="X1080" s="81"/>
      <c r="Y1080" s="81"/>
      <c r="Z1080" s="81"/>
      <c r="AA1080" s="81"/>
      <c r="AB1080" s="81"/>
      <c r="AC1080" s="81"/>
      <c r="AD1080" s="81"/>
      <c r="AE1080" s="81"/>
      <c r="AF1080" s="81"/>
      <c r="AG1080" s="81"/>
      <c r="AH1080" s="81"/>
      <c r="AI1080" s="81"/>
      <c r="AJ1080" s="81"/>
      <c r="AK1080" s="81"/>
      <c r="AL1080" s="81"/>
      <c r="AM1080" s="81"/>
    </row>
    <row collapsed="false" customFormat="false" customHeight="true" hidden="false" ht="16.2" outlineLevel="0" r="1081">
      <c r="A1081" s="80" t="n">
        <v>554</v>
      </c>
      <c r="B1081" s="81"/>
      <c r="C1081" s="82" t="s">
        <v>1033</v>
      </c>
      <c r="D1081" s="85"/>
      <c r="E1081" s="83" t="s">
        <v>1035</v>
      </c>
      <c r="F1081" s="49" t="s">
        <v>1036</v>
      </c>
      <c r="G1081" s="85"/>
      <c r="H1081" s="85"/>
      <c r="I1081" s="85"/>
      <c r="J1081" s="85"/>
      <c r="K1081" s="85"/>
      <c r="L1081" s="85"/>
      <c r="M1081" s="81" t="n">
        <v>4788</v>
      </c>
      <c r="N1081" s="81"/>
      <c r="O1081" s="96"/>
      <c r="P1081" s="81"/>
      <c r="Q1081" s="81"/>
      <c r="R1081" s="81"/>
      <c r="S1081" s="81"/>
      <c r="T1081" s="81"/>
      <c r="U1081" s="81"/>
      <c r="V1081" s="81"/>
      <c r="W1081" s="81"/>
      <c r="X1081" s="81"/>
      <c r="Y1081" s="81"/>
      <c r="Z1081" s="81"/>
      <c r="AA1081" s="81"/>
      <c r="AB1081" s="81"/>
      <c r="AC1081" s="81"/>
      <c r="AD1081" s="81"/>
      <c r="AE1081" s="81"/>
      <c r="AF1081" s="81"/>
      <c r="AG1081" s="81"/>
      <c r="AH1081" s="81"/>
      <c r="AI1081" s="81"/>
      <c r="AJ1081" s="81"/>
      <c r="AK1081" s="81"/>
      <c r="AL1081" s="81"/>
      <c r="AM1081" s="81"/>
    </row>
    <row collapsed="false" customFormat="false" customHeight="true" hidden="false" ht="16.2" outlineLevel="0" r="1082">
      <c r="A1082" s="80"/>
      <c r="B1082" s="81" t="s">
        <v>762</v>
      </c>
      <c r="C1082" s="85"/>
      <c r="D1082" s="85" t="s">
        <v>1054</v>
      </c>
      <c r="E1082" s="83" t="s">
        <v>1037</v>
      </c>
      <c r="F1082" s="49" t="s">
        <v>1036</v>
      </c>
      <c r="G1082" s="85" t="s">
        <v>1042</v>
      </c>
      <c r="H1082" s="85" t="n">
        <v>43</v>
      </c>
      <c r="I1082" s="85" t="s">
        <v>1059</v>
      </c>
      <c r="J1082" s="85" t="n">
        <v>2</v>
      </c>
      <c r="K1082" s="85" t="s">
        <v>1041</v>
      </c>
      <c r="L1082" s="85" t="s">
        <v>1041</v>
      </c>
      <c r="M1082" s="81" t="n">
        <v>4788</v>
      </c>
      <c r="N1082" s="81"/>
      <c r="O1082" s="96"/>
      <c r="P1082" s="81"/>
      <c r="Q1082" s="81"/>
      <c r="R1082" s="81"/>
      <c r="S1082" s="81"/>
      <c r="T1082" s="81"/>
      <c r="U1082" s="81"/>
      <c r="V1082" s="81"/>
      <c r="W1082" s="81"/>
      <c r="X1082" s="81"/>
      <c r="Y1082" s="81"/>
      <c r="Z1082" s="81"/>
      <c r="AA1082" s="81"/>
      <c r="AB1082" s="81"/>
      <c r="AC1082" s="81"/>
      <c r="AD1082" s="81"/>
      <c r="AE1082" s="81"/>
      <c r="AF1082" s="81"/>
      <c r="AG1082" s="81"/>
      <c r="AH1082" s="81"/>
      <c r="AI1082" s="81"/>
      <c r="AJ1082" s="81"/>
      <c r="AK1082" s="81"/>
      <c r="AL1082" s="81"/>
      <c r="AM1082" s="81"/>
    </row>
    <row collapsed="false" customFormat="false" customHeight="true" hidden="false" ht="16.2" outlineLevel="0" r="1083">
      <c r="A1083" s="80" t="n">
        <v>555</v>
      </c>
      <c r="B1083" s="81"/>
      <c r="C1083" s="82" t="s">
        <v>1033</v>
      </c>
      <c r="D1083" s="85"/>
      <c r="E1083" s="83" t="s">
        <v>1035</v>
      </c>
      <c r="F1083" s="49" t="s">
        <v>1036</v>
      </c>
      <c r="G1083" s="85"/>
      <c r="H1083" s="85"/>
      <c r="I1083" s="85"/>
      <c r="J1083" s="85"/>
      <c r="K1083" s="85"/>
      <c r="L1083" s="85"/>
      <c r="M1083" s="81" t="n">
        <v>2340</v>
      </c>
      <c r="N1083" s="81"/>
      <c r="O1083" s="96"/>
      <c r="P1083" s="81"/>
      <c r="Q1083" s="81"/>
      <c r="R1083" s="81"/>
      <c r="S1083" s="81"/>
      <c r="T1083" s="81"/>
      <c r="U1083" s="81"/>
      <c r="V1083" s="81"/>
      <c r="W1083" s="81"/>
      <c r="X1083" s="81"/>
      <c r="Y1083" s="81"/>
      <c r="Z1083" s="81"/>
      <c r="AA1083" s="81"/>
      <c r="AB1083" s="81"/>
      <c r="AC1083" s="81"/>
      <c r="AD1083" s="81"/>
      <c r="AE1083" s="81"/>
      <c r="AF1083" s="81"/>
      <c r="AG1083" s="81"/>
      <c r="AH1083" s="81"/>
      <c r="AI1083" s="81"/>
      <c r="AJ1083" s="81"/>
      <c r="AK1083" s="81"/>
      <c r="AL1083" s="81"/>
      <c r="AM1083" s="81"/>
    </row>
    <row collapsed="false" customFormat="false" customHeight="true" hidden="false" ht="16.2" outlineLevel="0" r="1084">
      <c r="A1084" s="80"/>
      <c r="B1084" s="81" t="s">
        <v>763</v>
      </c>
      <c r="C1084" s="85"/>
      <c r="D1084" s="85" t="s">
        <v>1054</v>
      </c>
      <c r="E1084" s="83" t="s">
        <v>1037</v>
      </c>
      <c r="F1084" s="49" t="s">
        <v>1036</v>
      </c>
      <c r="G1084" s="85" t="s">
        <v>1052</v>
      </c>
      <c r="H1084" s="85" t="n">
        <v>25</v>
      </c>
      <c r="I1084" s="85" t="s">
        <v>1039</v>
      </c>
      <c r="J1084" s="85" t="n">
        <v>2</v>
      </c>
      <c r="K1084" s="85" t="s">
        <v>1041</v>
      </c>
      <c r="L1084" s="85" t="s">
        <v>1041</v>
      </c>
      <c r="M1084" s="81" t="n">
        <v>2340</v>
      </c>
      <c r="N1084" s="81"/>
      <c r="O1084" s="96"/>
      <c r="P1084" s="81"/>
      <c r="Q1084" s="81"/>
      <c r="R1084" s="81"/>
      <c r="S1084" s="81"/>
      <c r="T1084" s="81"/>
      <c r="U1084" s="81"/>
      <c r="V1084" s="81"/>
      <c r="W1084" s="81"/>
      <c r="X1084" s="81"/>
      <c r="Y1084" s="81"/>
      <c r="Z1084" s="81"/>
      <c r="AA1084" s="81"/>
      <c r="AB1084" s="81"/>
      <c r="AC1084" s="81"/>
      <c r="AD1084" s="81"/>
      <c r="AE1084" s="81"/>
      <c r="AF1084" s="81"/>
      <c r="AG1084" s="81"/>
      <c r="AH1084" s="81"/>
      <c r="AI1084" s="81"/>
      <c r="AJ1084" s="81"/>
      <c r="AK1084" s="81"/>
      <c r="AL1084" s="81"/>
      <c r="AM1084" s="81"/>
    </row>
    <row collapsed="false" customFormat="false" customHeight="true" hidden="false" ht="16.2" outlineLevel="0" r="1085">
      <c r="A1085" s="80" t="n">
        <v>556</v>
      </c>
      <c r="B1085" s="81"/>
      <c r="C1085" s="82" t="s">
        <v>1033</v>
      </c>
      <c r="D1085" s="85"/>
      <c r="E1085" s="83" t="s">
        <v>1035</v>
      </c>
      <c r="F1085" s="49" t="s">
        <v>1036</v>
      </c>
      <c r="G1085" s="85"/>
      <c r="H1085" s="85"/>
      <c r="I1085" s="85"/>
      <c r="J1085" s="85"/>
      <c r="K1085" s="85"/>
      <c r="L1085" s="85"/>
      <c r="M1085" s="81" t="n">
        <v>7095</v>
      </c>
      <c r="N1085" s="81"/>
      <c r="O1085" s="96"/>
      <c r="P1085" s="81"/>
      <c r="Q1085" s="81"/>
      <c r="R1085" s="81"/>
      <c r="S1085" s="81"/>
      <c r="T1085" s="81"/>
      <c r="U1085" s="81"/>
      <c r="V1085" s="81"/>
      <c r="W1085" s="81"/>
      <c r="X1085" s="81"/>
      <c r="Y1085" s="81"/>
      <c r="Z1085" s="81"/>
      <c r="AA1085" s="81"/>
      <c r="AB1085" s="81"/>
      <c r="AC1085" s="81"/>
      <c r="AD1085" s="81"/>
      <c r="AE1085" s="81"/>
      <c r="AF1085" s="81"/>
      <c r="AG1085" s="81"/>
      <c r="AH1085" s="81"/>
      <c r="AI1085" s="81"/>
      <c r="AJ1085" s="81"/>
      <c r="AK1085" s="81"/>
      <c r="AL1085" s="81"/>
      <c r="AM1085" s="81"/>
    </row>
    <row collapsed="false" customFormat="false" customHeight="true" hidden="false" ht="16.2" outlineLevel="0" r="1086">
      <c r="A1086" s="80"/>
      <c r="B1086" s="81" t="s">
        <v>765</v>
      </c>
      <c r="C1086" s="85"/>
      <c r="D1086" s="85" t="s">
        <v>1054</v>
      </c>
      <c r="E1086" s="83" t="s">
        <v>1037</v>
      </c>
      <c r="F1086" s="49" t="s">
        <v>1036</v>
      </c>
      <c r="G1086" s="85" t="s">
        <v>1039</v>
      </c>
      <c r="H1086" s="85" t="n">
        <v>36</v>
      </c>
      <c r="I1086" s="85" t="s">
        <v>1039</v>
      </c>
      <c r="J1086" s="85" t="n">
        <v>2</v>
      </c>
      <c r="K1086" s="85" t="s">
        <v>1041</v>
      </c>
      <c r="L1086" s="85" t="s">
        <v>1041</v>
      </c>
      <c r="M1086" s="81" t="n">
        <v>7095</v>
      </c>
      <c r="N1086" s="81"/>
      <c r="O1086" s="96"/>
      <c r="P1086" s="81"/>
      <c r="Q1086" s="81"/>
      <c r="R1086" s="81"/>
      <c r="S1086" s="81"/>
      <c r="T1086" s="81"/>
      <c r="U1086" s="81"/>
      <c r="V1086" s="81"/>
      <c r="W1086" s="81"/>
      <c r="X1086" s="81"/>
      <c r="Y1086" s="81"/>
      <c r="Z1086" s="81"/>
      <c r="AA1086" s="81"/>
      <c r="AB1086" s="81"/>
      <c r="AC1086" s="81"/>
      <c r="AD1086" s="81"/>
      <c r="AE1086" s="81"/>
      <c r="AF1086" s="81"/>
      <c r="AG1086" s="81"/>
      <c r="AH1086" s="81"/>
      <c r="AI1086" s="81"/>
      <c r="AJ1086" s="81"/>
      <c r="AK1086" s="81"/>
      <c r="AL1086" s="81"/>
      <c r="AM1086" s="81"/>
    </row>
    <row collapsed="false" customFormat="false" customHeight="true" hidden="false" ht="16.2" outlineLevel="0" r="1087">
      <c r="A1087" s="80" t="n">
        <v>557</v>
      </c>
      <c r="B1087" s="81"/>
      <c r="C1087" s="82" t="s">
        <v>1033</v>
      </c>
      <c r="D1087" s="85"/>
      <c r="E1087" s="83" t="s">
        <v>1035</v>
      </c>
      <c r="F1087" s="49" t="s">
        <v>1036</v>
      </c>
      <c r="G1087" s="85"/>
      <c r="H1087" s="85"/>
      <c r="I1087" s="85"/>
      <c r="J1087" s="85"/>
      <c r="K1087" s="85"/>
      <c r="L1087" s="85"/>
      <c r="M1087" s="81"/>
      <c r="N1087" s="81"/>
      <c r="O1087" s="96"/>
      <c r="P1087" s="81"/>
      <c r="Q1087" s="81"/>
      <c r="R1087" s="81"/>
      <c r="S1087" s="81"/>
      <c r="T1087" s="81"/>
      <c r="U1087" s="81"/>
      <c r="V1087" s="81"/>
      <c r="W1087" s="81"/>
      <c r="X1087" s="81"/>
      <c r="Y1087" s="81"/>
      <c r="Z1087" s="81"/>
      <c r="AA1087" s="81"/>
      <c r="AB1087" s="81"/>
      <c r="AC1087" s="81"/>
      <c r="AD1087" s="81"/>
      <c r="AE1087" s="81"/>
      <c r="AF1087" s="81"/>
      <c r="AG1087" s="81"/>
      <c r="AH1087" s="81"/>
      <c r="AI1087" s="81"/>
      <c r="AJ1087" s="81"/>
      <c r="AK1087" s="81"/>
      <c r="AL1087" s="81"/>
      <c r="AM1087" s="81"/>
    </row>
    <row collapsed="false" customFormat="false" customHeight="true" hidden="false" ht="16.2" outlineLevel="0" r="1088">
      <c r="A1088" s="80"/>
      <c r="B1088" s="81" t="s">
        <v>767</v>
      </c>
      <c r="C1088" s="85"/>
      <c r="D1088" s="85" t="s">
        <v>1054</v>
      </c>
      <c r="E1088" s="83" t="s">
        <v>1037</v>
      </c>
      <c r="F1088" s="49" t="s">
        <v>1036</v>
      </c>
      <c r="G1088" s="85" t="s">
        <v>1039</v>
      </c>
      <c r="H1088" s="85" t="n">
        <v>89</v>
      </c>
      <c r="I1088" s="85" t="s">
        <v>1059</v>
      </c>
      <c r="J1088" s="85" t="n">
        <v>5</v>
      </c>
      <c r="K1088" s="85" t="s">
        <v>1041</v>
      </c>
      <c r="L1088" s="85" t="s">
        <v>1041</v>
      </c>
      <c r="M1088" s="81" t="n">
        <v>17610</v>
      </c>
      <c r="N1088" s="81"/>
      <c r="O1088" s="96"/>
      <c r="P1088" s="81"/>
      <c r="Q1088" s="81"/>
      <c r="R1088" s="81"/>
      <c r="S1088" s="81"/>
      <c r="T1088" s="81"/>
      <c r="U1088" s="81"/>
      <c r="V1088" s="81"/>
      <c r="W1088" s="81"/>
      <c r="X1088" s="81"/>
      <c r="Y1088" s="81"/>
      <c r="Z1088" s="81"/>
      <c r="AA1088" s="81"/>
      <c r="AB1088" s="81"/>
      <c r="AC1088" s="81"/>
      <c r="AD1088" s="81"/>
      <c r="AE1088" s="81"/>
      <c r="AF1088" s="81"/>
      <c r="AG1088" s="81"/>
      <c r="AH1088" s="81"/>
      <c r="AI1088" s="81"/>
      <c r="AJ1088" s="81"/>
      <c r="AK1088" s="81"/>
      <c r="AL1088" s="81"/>
      <c r="AM1088" s="81"/>
    </row>
    <row collapsed="false" customFormat="false" customHeight="true" hidden="false" ht="16.2" outlineLevel="0" r="1089">
      <c r="A1089" s="80" t="n">
        <v>558</v>
      </c>
      <c r="B1089" s="81"/>
      <c r="C1089" s="82" t="s">
        <v>1033</v>
      </c>
      <c r="D1089" s="85"/>
      <c r="E1089" s="83" t="s">
        <v>1035</v>
      </c>
      <c r="F1089" s="49" t="s">
        <v>1036</v>
      </c>
      <c r="G1089" s="85"/>
      <c r="H1089" s="85"/>
      <c r="I1089" s="85"/>
      <c r="J1089" s="85"/>
      <c r="K1089" s="85"/>
      <c r="L1089" s="85"/>
      <c r="M1089" s="81" t="n">
        <v>4084</v>
      </c>
      <c r="N1089" s="81"/>
      <c r="O1089" s="96"/>
      <c r="P1089" s="81"/>
      <c r="Q1089" s="81"/>
      <c r="R1089" s="81"/>
      <c r="S1089" s="81"/>
      <c r="T1089" s="81"/>
      <c r="U1089" s="81"/>
      <c r="V1089" s="81"/>
      <c r="W1089" s="81"/>
      <c r="X1089" s="81"/>
      <c r="Y1089" s="81"/>
      <c r="Z1089" s="81"/>
      <c r="AA1089" s="81"/>
      <c r="AB1089" s="81"/>
      <c r="AC1089" s="81"/>
      <c r="AD1089" s="81"/>
      <c r="AE1089" s="81"/>
      <c r="AF1089" s="81"/>
      <c r="AG1089" s="81"/>
      <c r="AH1089" s="81"/>
      <c r="AI1089" s="81"/>
      <c r="AJ1089" s="81"/>
      <c r="AK1089" s="81"/>
      <c r="AL1089" s="81"/>
      <c r="AM1089" s="81"/>
    </row>
    <row collapsed="false" customFormat="false" customHeight="true" hidden="false" ht="16.2" outlineLevel="0" r="1090">
      <c r="A1090" s="80"/>
      <c r="B1090" s="81" t="s">
        <v>770</v>
      </c>
      <c r="C1090" s="85"/>
      <c r="D1090" s="85" t="s">
        <v>1054</v>
      </c>
      <c r="E1090" s="83" t="s">
        <v>1037</v>
      </c>
      <c r="F1090" s="49" t="s">
        <v>1036</v>
      </c>
      <c r="G1090" s="85" t="s">
        <v>1039</v>
      </c>
      <c r="H1090" s="85" t="n">
        <v>62</v>
      </c>
      <c r="I1090" s="85" t="s">
        <v>1039</v>
      </c>
      <c r="J1090" s="85" t="n">
        <v>5</v>
      </c>
      <c r="K1090" s="85" t="s">
        <v>1041</v>
      </c>
      <c r="L1090" s="85" t="s">
        <v>1041</v>
      </c>
      <c r="M1090" s="81" t="n">
        <v>4084</v>
      </c>
      <c r="N1090" s="81"/>
      <c r="O1090" s="96"/>
      <c r="P1090" s="81"/>
      <c r="Q1090" s="81"/>
      <c r="R1090" s="81"/>
      <c r="S1090" s="81"/>
      <c r="T1090" s="81"/>
      <c r="U1090" s="81"/>
      <c r="V1090" s="81"/>
      <c r="W1090" s="81"/>
      <c r="X1090" s="81"/>
      <c r="Y1090" s="81"/>
      <c r="Z1090" s="81"/>
      <c r="AA1090" s="81"/>
      <c r="AB1090" s="81"/>
      <c r="AC1090" s="81"/>
      <c r="AD1090" s="81"/>
      <c r="AE1090" s="81"/>
      <c r="AF1090" s="81"/>
      <c r="AG1090" s="81"/>
      <c r="AH1090" s="81"/>
      <c r="AI1090" s="81"/>
      <c r="AJ1090" s="81"/>
      <c r="AK1090" s="81"/>
      <c r="AL1090" s="81"/>
      <c r="AM1090" s="81"/>
    </row>
    <row collapsed="false" customFormat="false" customHeight="true" hidden="false" ht="16.2" outlineLevel="0" r="1091">
      <c r="A1091" s="80" t="n">
        <v>559</v>
      </c>
      <c r="B1091" s="81"/>
      <c r="C1091" s="82" t="s">
        <v>1033</v>
      </c>
      <c r="D1091" s="85"/>
      <c r="E1091" s="83" t="s">
        <v>1035</v>
      </c>
      <c r="F1091" s="49" t="s">
        <v>1036</v>
      </c>
      <c r="G1091" s="85"/>
      <c r="H1091" s="85"/>
      <c r="I1091" s="85"/>
      <c r="J1091" s="85"/>
      <c r="K1091" s="85"/>
      <c r="L1091" s="85"/>
      <c r="M1091" s="81" t="n">
        <v>6990</v>
      </c>
      <c r="N1091" s="81"/>
      <c r="O1091" s="96"/>
      <c r="P1091" s="81"/>
      <c r="Q1091" s="81"/>
      <c r="R1091" s="81"/>
      <c r="S1091" s="81"/>
      <c r="T1091" s="81"/>
      <c r="U1091" s="81"/>
      <c r="V1091" s="81"/>
      <c r="W1091" s="81"/>
      <c r="X1091" s="81"/>
      <c r="Y1091" s="81"/>
      <c r="Z1091" s="81"/>
      <c r="AA1091" s="81"/>
      <c r="AB1091" s="81"/>
      <c r="AC1091" s="81"/>
      <c r="AD1091" s="81"/>
      <c r="AE1091" s="81"/>
      <c r="AF1091" s="81"/>
      <c r="AG1091" s="81"/>
      <c r="AH1091" s="81"/>
      <c r="AI1091" s="81"/>
      <c r="AJ1091" s="81"/>
      <c r="AK1091" s="81"/>
      <c r="AL1091" s="81"/>
      <c r="AM1091" s="81"/>
    </row>
    <row collapsed="false" customFormat="false" customHeight="true" hidden="false" ht="16.2" outlineLevel="0" r="1092">
      <c r="A1092" s="80"/>
      <c r="B1092" s="81" t="s">
        <v>772</v>
      </c>
      <c r="C1092" s="85"/>
      <c r="D1092" s="85" t="s">
        <v>1054</v>
      </c>
      <c r="E1092" s="83" t="s">
        <v>1037</v>
      </c>
      <c r="F1092" s="49" t="s">
        <v>1036</v>
      </c>
      <c r="G1092" s="85" t="s">
        <v>1042</v>
      </c>
      <c r="H1092" s="85" t="n">
        <v>71</v>
      </c>
      <c r="I1092" s="85" t="s">
        <v>1046</v>
      </c>
      <c r="J1092" s="85" t="n">
        <v>4</v>
      </c>
      <c r="K1092" s="85" t="s">
        <v>1041</v>
      </c>
      <c r="L1092" s="85" t="s">
        <v>1041</v>
      </c>
      <c r="M1092" s="81" t="n">
        <v>6990</v>
      </c>
      <c r="N1092" s="81"/>
      <c r="O1092" s="96"/>
      <c r="P1092" s="81"/>
      <c r="Q1092" s="81"/>
      <c r="R1092" s="81"/>
      <c r="S1092" s="81"/>
      <c r="T1092" s="81"/>
      <c r="U1092" s="81"/>
      <c r="V1092" s="81"/>
      <c r="W1092" s="81"/>
      <c r="X1092" s="81"/>
      <c r="Y1092" s="81"/>
      <c r="Z1092" s="81"/>
      <c r="AA1092" s="81"/>
      <c r="AB1092" s="81"/>
      <c r="AC1092" s="81"/>
      <c r="AD1092" s="81"/>
      <c r="AE1092" s="81"/>
      <c r="AF1092" s="81"/>
      <c r="AG1092" s="81"/>
      <c r="AH1092" s="81"/>
      <c r="AI1092" s="81"/>
      <c r="AJ1092" s="81"/>
      <c r="AK1092" s="81"/>
      <c r="AL1092" s="81"/>
      <c r="AM1092" s="81"/>
    </row>
    <row collapsed="false" customFormat="false" customHeight="true" hidden="false" ht="16.2" outlineLevel="0" r="1093">
      <c r="A1093" s="80" t="n">
        <v>560</v>
      </c>
      <c r="B1093" s="81"/>
      <c r="C1093" s="82" t="s">
        <v>1033</v>
      </c>
      <c r="D1093" s="85"/>
      <c r="E1093" s="83" t="s">
        <v>1035</v>
      </c>
      <c r="F1093" s="49" t="s">
        <v>1036</v>
      </c>
      <c r="G1093" s="85"/>
      <c r="H1093" s="85"/>
      <c r="I1093" s="85"/>
      <c r="J1093" s="85"/>
      <c r="K1093" s="85"/>
      <c r="L1093" s="85"/>
      <c r="M1093" s="81" t="n">
        <v>6030</v>
      </c>
      <c r="N1093" s="81"/>
      <c r="O1093" s="96"/>
      <c r="P1093" s="81"/>
      <c r="Q1093" s="81"/>
      <c r="R1093" s="81"/>
      <c r="S1093" s="81"/>
      <c r="T1093" s="81"/>
      <c r="U1093" s="81"/>
      <c r="V1093" s="81"/>
      <c r="W1093" s="81"/>
      <c r="X1093" s="81"/>
      <c r="Y1093" s="81"/>
      <c r="Z1093" s="81"/>
      <c r="AA1093" s="81"/>
      <c r="AB1093" s="81"/>
      <c r="AC1093" s="81"/>
      <c r="AD1093" s="81"/>
      <c r="AE1093" s="81"/>
      <c r="AF1093" s="81"/>
      <c r="AG1093" s="81"/>
      <c r="AH1093" s="81"/>
      <c r="AI1093" s="81"/>
      <c r="AJ1093" s="81"/>
      <c r="AK1093" s="81"/>
      <c r="AL1093" s="81"/>
      <c r="AM1093" s="81"/>
    </row>
    <row collapsed="false" customFormat="false" customHeight="true" hidden="false" ht="16.2" outlineLevel="0" r="1094">
      <c r="A1094" s="80"/>
      <c r="B1094" s="81" t="s">
        <v>774</v>
      </c>
      <c r="C1094" s="85"/>
      <c r="D1094" s="85" t="s">
        <v>1054</v>
      </c>
      <c r="E1094" s="83" t="s">
        <v>1037</v>
      </c>
      <c r="F1094" s="49" t="s">
        <v>1036</v>
      </c>
      <c r="G1094" s="85" t="s">
        <v>1042</v>
      </c>
      <c r="H1094" s="85" t="n">
        <v>120</v>
      </c>
      <c r="I1094" s="85" t="s">
        <v>1039</v>
      </c>
      <c r="J1094" s="85" t="n">
        <v>8</v>
      </c>
      <c r="K1094" s="85" t="s">
        <v>1041</v>
      </c>
      <c r="L1094" s="85" t="s">
        <v>1041</v>
      </c>
      <c r="M1094" s="81" t="n">
        <v>6030</v>
      </c>
      <c r="N1094" s="81"/>
      <c r="O1094" s="96"/>
      <c r="P1094" s="81"/>
      <c r="Q1094" s="81"/>
      <c r="R1094" s="81"/>
      <c r="S1094" s="81"/>
      <c r="T1094" s="81"/>
      <c r="U1094" s="81"/>
      <c r="V1094" s="81"/>
      <c r="W1094" s="81"/>
      <c r="X1094" s="81"/>
      <c r="Y1094" s="81"/>
      <c r="Z1094" s="81"/>
      <c r="AA1094" s="81"/>
      <c r="AB1094" s="81"/>
      <c r="AC1094" s="81"/>
      <c r="AD1094" s="81"/>
      <c r="AE1094" s="81"/>
      <c r="AF1094" s="81"/>
      <c r="AG1094" s="81"/>
      <c r="AH1094" s="81"/>
      <c r="AI1094" s="81"/>
      <c r="AJ1094" s="81"/>
      <c r="AK1094" s="81"/>
      <c r="AL1094" s="81"/>
      <c r="AM1094" s="81"/>
    </row>
    <row collapsed="false" customFormat="false" customHeight="true" hidden="false" ht="16.2" outlineLevel="0" r="1095">
      <c r="A1095" s="80" t="n">
        <v>561</v>
      </c>
      <c r="B1095" s="81"/>
      <c r="C1095" s="82" t="s">
        <v>1033</v>
      </c>
      <c r="D1095" s="85"/>
      <c r="E1095" s="83" t="s">
        <v>1035</v>
      </c>
      <c r="F1095" s="49" t="s">
        <v>1036</v>
      </c>
      <c r="G1095" s="85"/>
      <c r="H1095" s="85"/>
      <c r="I1095" s="85"/>
      <c r="J1095" s="85"/>
      <c r="K1095" s="85"/>
      <c r="L1095" s="85"/>
      <c r="M1095" s="81" t="n">
        <v>5880</v>
      </c>
      <c r="N1095" s="81"/>
      <c r="O1095" s="96"/>
      <c r="P1095" s="81"/>
      <c r="Q1095" s="81"/>
      <c r="R1095" s="81"/>
      <c r="S1095" s="81"/>
      <c r="T1095" s="81"/>
      <c r="U1095" s="81"/>
      <c r="V1095" s="81"/>
      <c r="W1095" s="81"/>
      <c r="X1095" s="81"/>
      <c r="Y1095" s="81"/>
      <c r="Z1095" s="81"/>
      <c r="AA1095" s="81"/>
      <c r="AB1095" s="81"/>
      <c r="AC1095" s="81"/>
      <c r="AD1095" s="81"/>
      <c r="AE1095" s="81"/>
      <c r="AF1095" s="81"/>
      <c r="AG1095" s="81"/>
      <c r="AH1095" s="81"/>
      <c r="AI1095" s="81"/>
      <c r="AJ1095" s="81"/>
      <c r="AK1095" s="81"/>
      <c r="AL1095" s="81"/>
      <c r="AM1095" s="81"/>
    </row>
    <row collapsed="false" customFormat="false" customHeight="true" hidden="false" ht="16.2" outlineLevel="0" r="1096">
      <c r="A1096" s="80"/>
      <c r="B1096" s="81" t="s">
        <v>776</v>
      </c>
      <c r="C1096" s="85"/>
      <c r="D1096" s="85" t="s">
        <v>1054</v>
      </c>
      <c r="E1096" s="83" t="s">
        <v>1037</v>
      </c>
      <c r="F1096" s="49" t="s">
        <v>1036</v>
      </c>
      <c r="G1096" s="85" t="s">
        <v>1042</v>
      </c>
      <c r="H1096" s="85" t="n">
        <v>60</v>
      </c>
      <c r="I1096" s="85" t="s">
        <v>1039</v>
      </c>
      <c r="J1096" s="85" t="n">
        <v>2</v>
      </c>
      <c r="K1096" s="85" t="s">
        <v>1041</v>
      </c>
      <c r="L1096" s="85" t="s">
        <v>1041</v>
      </c>
      <c r="M1096" s="81" t="n">
        <v>5880</v>
      </c>
      <c r="N1096" s="81"/>
      <c r="O1096" s="96"/>
      <c r="P1096" s="81"/>
      <c r="Q1096" s="81"/>
      <c r="R1096" s="81"/>
      <c r="S1096" s="81"/>
      <c r="T1096" s="81"/>
      <c r="U1096" s="81"/>
      <c r="V1096" s="81"/>
      <c r="W1096" s="81"/>
      <c r="X1096" s="81"/>
      <c r="Y1096" s="81"/>
      <c r="Z1096" s="81"/>
      <c r="AA1096" s="81"/>
      <c r="AB1096" s="81"/>
      <c r="AC1096" s="81"/>
      <c r="AD1096" s="81"/>
      <c r="AE1096" s="81"/>
      <c r="AF1096" s="81"/>
      <c r="AG1096" s="81"/>
      <c r="AH1096" s="81"/>
      <c r="AI1096" s="81"/>
      <c r="AJ1096" s="81"/>
      <c r="AK1096" s="81"/>
      <c r="AL1096" s="81"/>
      <c r="AM1096" s="81"/>
    </row>
    <row collapsed="false" customFormat="false" customHeight="true" hidden="false" ht="16.2" outlineLevel="0" r="1097">
      <c r="A1097" s="80" t="n">
        <v>562</v>
      </c>
      <c r="B1097" s="81"/>
      <c r="C1097" s="82" t="s">
        <v>1033</v>
      </c>
      <c r="D1097" s="85"/>
      <c r="E1097" s="83" t="s">
        <v>1035</v>
      </c>
      <c r="F1097" s="49" t="s">
        <v>1036</v>
      </c>
      <c r="G1097" s="85"/>
      <c r="H1097" s="85"/>
      <c r="I1097" s="85"/>
      <c r="J1097" s="85"/>
      <c r="K1097" s="85"/>
      <c r="L1097" s="85"/>
      <c r="M1097" s="81" t="n">
        <v>2835</v>
      </c>
      <c r="N1097" s="81"/>
      <c r="O1097" s="96"/>
      <c r="P1097" s="81"/>
      <c r="Q1097" s="81"/>
      <c r="R1097" s="81"/>
      <c r="S1097" s="81"/>
      <c r="T1097" s="81"/>
      <c r="U1097" s="81"/>
      <c r="V1097" s="81"/>
      <c r="W1097" s="81"/>
      <c r="X1097" s="81"/>
      <c r="Y1097" s="81"/>
      <c r="Z1097" s="81"/>
      <c r="AA1097" s="81"/>
      <c r="AB1097" s="81"/>
      <c r="AC1097" s="81"/>
      <c r="AD1097" s="81"/>
      <c r="AE1097" s="81"/>
      <c r="AF1097" s="81"/>
      <c r="AG1097" s="81"/>
      <c r="AH1097" s="81"/>
      <c r="AI1097" s="81"/>
      <c r="AJ1097" s="81"/>
      <c r="AK1097" s="81"/>
      <c r="AL1097" s="81"/>
      <c r="AM1097" s="81"/>
    </row>
    <row collapsed="false" customFormat="false" customHeight="true" hidden="false" ht="16.2" outlineLevel="0" r="1098">
      <c r="A1098" s="80"/>
      <c r="B1098" s="81" t="s">
        <v>777</v>
      </c>
      <c r="C1098" s="85"/>
      <c r="D1098" s="85" t="s">
        <v>1054</v>
      </c>
      <c r="E1098" s="83" t="s">
        <v>1037</v>
      </c>
      <c r="F1098" s="49" t="s">
        <v>1036</v>
      </c>
      <c r="G1098" s="85" t="s">
        <v>1042</v>
      </c>
      <c r="H1098" s="85" t="n">
        <v>47</v>
      </c>
      <c r="I1098" s="85" t="s">
        <v>1039</v>
      </c>
      <c r="J1098" s="85" t="n">
        <v>2</v>
      </c>
      <c r="K1098" s="85" t="s">
        <v>1041</v>
      </c>
      <c r="L1098" s="85" t="s">
        <v>1041</v>
      </c>
      <c r="M1098" s="81" t="n">
        <v>2835</v>
      </c>
      <c r="N1098" s="81"/>
      <c r="O1098" s="96"/>
      <c r="P1098" s="81"/>
      <c r="Q1098" s="81"/>
      <c r="R1098" s="81"/>
      <c r="S1098" s="81"/>
      <c r="T1098" s="81"/>
      <c r="U1098" s="81"/>
      <c r="V1098" s="81"/>
      <c r="W1098" s="81"/>
      <c r="X1098" s="81"/>
      <c r="Y1098" s="81"/>
      <c r="Z1098" s="81"/>
      <c r="AA1098" s="81"/>
      <c r="AB1098" s="81"/>
      <c r="AC1098" s="81"/>
      <c r="AD1098" s="81"/>
      <c r="AE1098" s="81"/>
      <c r="AF1098" s="81"/>
      <c r="AG1098" s="81"/>
      <c r="AH1098" s="81"/>
      <c r="AI1098" s="81"/>
      <c r="AJ1098" s="81"/>
      <c r="AK1098" s="81"/>
      <c r="AL1098" s="81"/>
      <c r="AM1098" s="81"/>
    </row>
    <row collapsed="false" customFormat="false" customHeight="true" hidden="false" ht="16.2" outlineLevel="0" r="1099">
      <c r="A1099" s="80" t="n">
        <v>563</v>
      </c>
      <c r="B1099" s="81"/>
      <c r="C1099" s="82" t="s">
        <v>1033</v>
      </c>
      <c r="D1099" s="85"/>
      <c r="E1099" s="83" t="s">
        <v>1035</v>
      </c>
      <c r="F1099" s="49" t="s">
        <v>1036</v>
      </c>
      <c r="G1099" s="85"/>
      <c r="H1099" s="85"/>
      <c r="I1099" s="85"/>
      <c r="J1099" s="85"/>
      <c r="K1099" s="85"/>
      <c r="L1099" s="85"/>
      <c r="M1099" s="81"/>
      <c r="N1099" s="81"/>
      <c r="O1099" s="96"/>
      <c r="P1099" s="81"/>
      <c r="Q1099" s="81"/>
      <c r="R1099" s="81"/>
      <c r="S1099" s="81"/>
      <c r="T1099" s="81"/>
      <c r="U1099" s="81"/>
      <c r="V1099" s="81"/>
      <c r="W1099" s="81"/>
      <c r="X1099" s="81"/>
      <c r="Y1099" s="81"/>
      <c r="Z1099" s="81"/>
      <c r="AA1099" s="81"/>
      <c r="AB1099" s="81"/>
      <c r="AC1099" s="81"/>
      <c r="AD1099" s="81"/>
      <c r="AE1099" s="81"/>
      <c r="AF1099" s="81"/>
      <c r="AG1099" s="81"/>
      <c r="AH1099" s="81"/>
      <c r="AI1099" s="81"/>
      <c r="AJ1099" s="81"/>
      <c r="AK1099" s="81"/>
      <c r="AL1099" s="81"/>
      <c r="AM1099" s="81"/>
    </row>
    <row collapsed="false" customFormat="false" customHeight="true" hidden="false" ht="16.2" outlineLevel="0" r="1100">
      <c r="A1100" s="80"/>
      <c r="B1100" s="81" t="s">
        <v>778</v>
      </c>
      <c r="C1100" s="85"/>
      <c r="D1100" s="85" t="s">
        <v>1054</v>
      </c>
      <c r="E1100" s="83" t="s">
        <v>1037</v>
      </c>
      <c r="F1100" s="49" t="s">
        <v>1036</v>
      </c>
      <c r="G1100" s="85" t="s">
        <v>1042</v>
      </c>
      <c r="H1100" s="85" t="n">
        <v>38</v>
      </c>
      <c r="I1100" s="85" t="s">
        <v>1039</v>
      </c>
      <c r="J1100" s="85" t="n">
        <v>2</v>
      </c>
      <c r="K1100" s="85" t="s">
        <v>1041</v>
      </c>
      <c r="L1100" s="85" t="s">
        <v>1041</v>
      </c>
      <c r="M1100" s="81" t="n">
        <v>0</v>
      </c>
      <c r="N1100" s="81"/>
      <c r="O1100" s="96"/>
      <c r="P1100" s="81"/>
      <c r="Q1100" s="81"/>
      <c r="R1100" s="81"/>
      <c r="S1100" s="81"/>
      <c r="T1100" s="81"/>
      <c r="U1100" s="81"/>
      <c r="V1100" s="81"/>
      <c r="W1100" s="81"/>
      <c r="X1100" s="81"/>
      <c r="Y1100" s="81"/>
      <c r="Z1100" s="81"/>
      <c r="AA1100" s="81"/>
      <c r="AB1100" s="81"/>
      <c r="AC1100" s="81"/>
      <c r="AD1100" s="81"/>
      <c r="AE1100" s="81"/>
      <c r="AF1100" s="81"/>
      <c r="AG1100" s="81"/>
      <c r="AH1100" s="81"/>
      <c r="AI1100" s="81"/>
      <c r="AJ1100" s="81"/>
      <c r="AK1100" s="81"/>
      <c r="AL1100" s="81"/>
      <c r="AM1100" s="81"/>
    </row>
    <row collapsed="false" customFormat="false" customHeight="true" hidden="false" ht="16.2" outlineLevel="0" r="1101">
      <c r="A1101" s="80" t="n">
        <v>564</v>
      </c>
      <c r="B1101" s="81"/>
      <c r="C1101" s="82" t="s">
        <v>1033</v>
      </c>
      <c r="D1101" s="85"/>
      <c r="E1101" s="83" t="s">
        <v>1035</v>
      </c>
      <c r="F1101" s="49" t="s">
        <v>1036</v>
      </c>
      <c r="G1101" s="85"/>
      <c r="H1101" s="85"/>
      <c r="I1101" s="85"/>
      <c r="J1101" s="85"/>
      <c r="K1101" s="85"/>
      <c r="L1101" s="85"/>
      <c r="M1101" s="81"/>
      <c r="N1101" s="81"/>
      <c r="O1101" s="96"/>
      <c r="P1101" s="81"/>
      <c r="Q1101" s="81"/>
      <c r="R1101" s="81"/>
      <c r="S1101" s="81"/>
      <c r="T1101" s="81"/>
      <c r="U1101" s="81"/>
      <c r="V1101" s="81"/>
      <c r="W1101" s="81"/>
      <c r="X1101" s="81"/>
      <c r="Y1101" s="81"/>
      <c r="Z1101" s="81"/>
      <c r="AA1101" s="81"/>
      <c r="AB1101" s="81"/>
      <c r="AC1101" s="81"/>
      <c r="AD1101" s="81"/>
      <c r="AE1101" s="81"/>
      <c r="AF1101" s="81"/>
      <c r="AG1101" s="81"/>
      <c r="AH1101" s="81"/>
      <c r="AI1101" s="81"/>
      <c r="AJ1101" s="81"/>
      <c r="AK1101" s="81"/>
      <c r="AL1101" s="81"/>
      <c r="AM1101" s="81"/>
    </row>
    <row collapsed="false" customFormat="false" customHeight="true" hidden="false" ht="16.2" outlineLevel="0" r="1102">
      <c r="A1102" s="80"/>
      <c r="B1102" s="81" t="s">
        <v>779</v>
      </c>
      <c r="C1102" s="85"/>
      <c r="D1102" s="85" t="s">
        <v>1054</v>
      </c>
      <c r="E1102" s="83" t="s">
        <v>1037</v>
      </c>
      <c r="F1102" s="49" t="s">
        <v>1036</v>
      </c>
      <c r="G1102" s="85" t="s">
        <v>1042</v>
      </c>
      <c r="H1102" s="85" t="n">
        <v>54</v>
      </c>
      <c r="I1102" s="85" t="s">
        <v>1046</v>
      </c>
      <c r="J1102" s="85" t="n">
        <v>3</v>
      </c>
      <c r="K1102" s="85" t="s">
        <v>1041</v>
      </c>
      <c r="L1102" s="85" t="s">
        <v>1041</v>
      </c>
      <c r="M1102" s="81" t="n">
        <v>0</v>
      </c>
      <c r="N1102" s="81"/>
      <c r="O1102" s="96"/>
      <c r="P1102" s="81"/>
      <c r="Q1102" s="81"/>
      <c r="R1102" s="81"/>
      <c r="S1102" s="81"/>
      <c r="T1102" s="81"/>
      <c r="U1102" s="81"/>
      <c r="V1102" s="81"/>
      <c r="W1102" s="81"/>
      <c r="X1102" s="81"/>
      <c r="Y1102" s="81"/>
      <c r="Z1102" s="81"/>
      <c r="AA1102" s="81"/>
      <c r="AB1102" s="81"/>
      <c r="AC1102" s="81"/>
      <c r="AD1102" s="81"/>
      <c r="AE1102" s="81"/>
      <c r="AF1102" s="81"/>
      <c r="AG1102" s="81"/>
      <c r="AH1102" s="81"/>
      <c r="AI1102" s="81"/>
      <c r="AJ1102" s="81"/>
      <c r="AK1102" s="81"/>
      <c r="AL1102" s="81"/>
      <c r="AM1102" s="81"/>
    </row>
    <row collapsed="false" customFormat="false" customHeight="true" hidden="false" ht="16.2" outlineLevel="0" r="1103">
      <c r="A1103" s="80" t="n">
        <v>565</v>
      </c>
      <c r="B1103" s="81"/>
      <c r="C1103" s="82" t="s">
        <v>1033</v>
      </c>
      <c r="D1103" s="85"/>
      <c r="E1103" s="83" t="s">
        <v>1035</v>
      </c>
      <c r="F1103" s="49" t="s">
        <v>1036</v>
      </c>
      <c r="G1103" s="85"/>
      <c r="H1103" s="85"/>
      <c r="I1103" s="85"/>
      <c r="J1103" s="85"/>
      <c r="K1103" s="85"/>
      <c r="L1103" s="85"/>
      <c r="M1103" s="81" t="n">
        <v>24963</v>
      </c>
      <c r="N1103" s="81"/>
      <c r="O1103" s="96"/>
      <c r="P1103" s="81"/>
      <c r="Q1103" s="81"/>
      <c r="R1103" s="81"/>
      <c r="S1103" s="81"/>
      <c r="T1103" s="81"/>
      <c r="U1103" s="81"/>
      <c r="V1103" s="81"/>
      <c r="W1103" s="81"/>
      <c r="X1103" s="81"/>
      <c r="Y1103" s="81"/>
      <c r="Z1103" s="81"/>
      <c r="AA1103" s="81"/>
      <c r="AB1103" s="81"/>
      <c r="AC1103" s="81"/>
      <c r="AD1103" s="81"/>
      <c r="AE1103" s="81"/>
      <c r="AF1103" s="81"/>
      <c r="AG1103" s="81"/>
      <c r="AH1103" s="81"/>
      <c r="AI1103" s="81"/>
      <c r="AJ1103" s="81"/>
      <c r="AK1103" s="81"/>
      <c r="AL1103" s="81"/>
      <c r="AM1103" s="81"/>
    </row>
    <row collapsed="false" customFormat="false" customHeight="true" hidden="false" ht="16.2" outlineLevel="0" r="1104">
      <c r="A1104" s="80"/>
      <c r="B1104" s="81" t="s">
        <v>781</v>
      </c>
      <c r="C1104" s="85"/>
      <c r="D1104" s="85" t="s">
        <v>1054</v>
      </c>
      <c r="E1104" s="83" t="s">
        <v>1037</v>
      </c>
      <c r="F1104" s="49" t="s">
        <v>1036</v>
      </c>
      <c r="G1104" s="85" t="s">
        <v>1042</v>
      </c>
      <c r="H1104" s="85" t="n">
        <v>170</v>
      </c>
      <c r="I1104" s="85" t="s">
        <v>1046</v>
      </c>
      <c r="J1104" s="85" t="n">
        <v>9</v>
      </c>
      <c r="K1104" s="85" t="s">
        <v>1041</v>
      </c>
      <c r="L1104" s="85" t="s">
        <v>1041</v>
      </c>
      <c r="M1104" s="81" t="n">
        <v>24963</v>
      </c>
      <c r="N1104" s="81"/>
      <c r="O1104" s="96"/>
      <c r="P1104" s="81"/>
      <c r="Q1104" s="81"/>
      <c r="R1104" s="81"/>
      <c r="S1104" s="81"/>
      <c r="T1104" s="81"/>
      <c r="U1104" s="81"/>
      <c r="V1104" s="81"/>
      <c r="W1104" s="81"/>
      <c r="X1104" s="81"/>
      <c r="Y1104" s="81"/>
      <c r="Z1104" s="81"/>
      <c r="AA1104" s="81"/>
      <c r="AB1104" s="81"/>
      <c r="AC1104" s="81"/>
      <c r="AD1104" s="81"/>
      <c r="AE1104" s="81"/>
      <c r="AF1104" s="81"/>
      <c r="AG1104" s="81"/>
      <c r="AH1104" s="81"/>
      <c r="AI1104" s="81"/>
      <c r="AJ1104" s="81"/>
      <c r="AK1104" s="81"/>
      <c r="AL1104" s="81"/>
      <c r="AM1104" s="81"/>
    </row>
    <row collapsed="false" customFormat="false" customHeight="true" hidden="false" ht="16.2" outlineLevel="0" r="1105">
      <c r="A1105" s="80" t="n">
        <v>566</v>
      </c>
      <c r="B1105" s="81"/>
      <c r="C1105" s="82" t="s">
        <v>1033</v>
      </c>
      <c r="D1105" s="85"/>
      <c r="E1105" s="83" t="s">
        <v>1035</v>
      </c>
      <c r="F1105" s="49" t="s">
        <v>1036</v>
      </c>
      <c r="G1105" s="85"/>
      <c r="H1105" s="85"/>
      <c r="I1105" s="85"/>
      <c r="J1105" s="85"/>
      <c r="K1105" s="85"/>
      <c r="L1105" s="85"/>
      <c r="M1105" s="81" t="n">
        <v>8337</v>
      </c>
      <c r="N1105" s="81"/>
      <c r="O1105" s="96"/>
      <c r="P1105" s="81"/>
      <c r="Q1105" s="81"/>
      <c r="R1105" s="81"/>
      <c r="S1105" s="81"/>
      <c r="T1105" s="81"/>
      <c r="U1105" s="81"/>
      <c r="V1105" s="81"/>
      <c r="W1105" s="81"/>
      <c r="X1105" s="81"/>
      <c r="Y1105" s="81"/>
      <c r="Z1105" s="81"/>
      <c r="AA1105" s="81"/>
      <c r="AB1105" s="81"/>
      <c r="AC1105" s="81"/>
      <c r="AD1105" s="81"/>
      <c r="AE1105" s="81"/>
      <c r="AF1105" s="81"/>
      <c r="AG1105" s="81"/>
      <c r="AH1105" s="81"/>
      <c r="AI1105" s="81"/>
      <c r="AJ1105" s="81"/>
      <c r="AK1105" s="81"/>
      <c r="AL1105" s="81"/>
      <c r="AM1105" s="81"/>
    </row>
    <row collapsed="false" customFormat="false" customHeight="true" hidden="false" ht="16.2" outlineLevel="0" r="1106">
      <c r="A1106" s="80"/>
      <c r="B1106" s="81" t="s">
        <v>783</v>
      </c>
      <c r="C1106" s="85"/>
      <c r="D1106" s="85" t="s">
        <v>1054</v>
      </c>
      <c r="E1106" s="83" t="s">
        <v>1037</v>
      </c>
      <c r="F1106" s="49" t="s">
        <v>1036</v>
      </c>
      <c r="G1106" s="85" t="s">
        <v>1042</v>
      </c>
      <c r="H1106" s="85" t="n">
        <v>44</v>
      </c>
      <c r="I1106" s="85" t="s">
        <v>1039</v>
      </c>
      <c r="J1106" s="85" t="n">
        <v>3</v>
      </c>
      <c r="K1106" s="85" t="s">
        <v>1041</v>
      </c>
      <c r="L1106" s="85" t="s">
        <v>1041</v>
      </c>
      <c r="M1106" s="81" t="n">
        <v>8337</v>
      </c>
      <c r="N1106" s="81"/>
      <c r="O1106" s="96"/>
      <c r="P1106" s="81"/>
      <c r="Q1106" s="81"/>
      <c r="R1106" s="81"/>
      <c r="S1106" s="81"/>
      <c r="T1106" s="81"/>
      <c r="U1106" s="81"/>
      <c r="V1106" s="81"/>
      <c r="W1106" s="81"/>
      <c r="X1106" s="81"/>
      <c r="Y1106" s="81"/>
      <c r="Z1106" s="81"/>
      <c r="AA1106" s="81"/>
      <c r="AB1106" s="81"/>
      <c r="AC1106" s="81"/>
      <c r="AD1106" s="81"/>
      <c r="AE1106" s="81"/>
      <c r="AF1106" s="81"/>
      <c r="AG1106" s="81"/>
      <c r="AH1106" s="81"/>
      <c r="AI1106" s="81"/>
      <c r="AJ1106" s="81"/>
      <c r="AK1106" s="81"/>
      <c r="AL1106" s="81"/>
      <c r="AM1106" s="81"/>
    </row>
    <row collapsed="false" customFormat="false" customHeight="true" hidden="false" ht="16.2" outlineLevel="0" r="1107">
      <c r="A1107" s="80" t="n">
        <v>567</v>
      </c>
      <c r="B1107" s="81"/>
      <c r="C1107" s="82" t="s">
        <v>1033</v>
      </c>
      <c r="D1107" s="85"/>
      <c r="E1107" s="83" t="s">
        <v>1035</v>
      </c>
      <c r="F1107" s="49" t="s">
        <v>1036</v>
      </c>
      <c r="G1107" s="85"/>
      <c r="H1107" s="85"/>
      <c r="I1107" s="85"/>
      <c r="J1107" s="85"/>
      <c r="K1107" s="85"/>
      <c r="L1107" s="85"/>
      <c r="M1107" s="81"/>
      <c r="N1107" s="81"/>
      <c r="O1107" s="96"/>
      <c r="P1107" s="81"/>
      <c r="Q1107" s="81"/>
      <c r="R1107" s="81"/>
      <c r="S1107" s="81"/>
      <c r="T1107" s="81"/>
      <c r="U1107" s="81"/>
      <c r="V1107" s="81"/>
      <c r="W1107" s="81"/>
      <c r="X1107" s="81"/>
      <c r="Y1107" s="81"/>
      <c r="Z1107" s="81"/>
      <c r="AA1107" s="81"/>
      <c r="AB1107" s="81"/>
      <c r="AC1107" s="81"/>
      <c r="AD1107" s="81"/>
      <c r="AE1107" s="81"/>
      <c r="AF1107" s="81"/>
      <c r="AG1107" s="81"/>
      <c r="AH1107" s="81"/>
      <c r="AI1107" s="81"/>
      <c r="AJ1107" s="81"/>
      <c r="AK1107" s="81"/>
      <c r="AL1107" s="81"/>
      <c r="AM1107" s="81"/>
    </row>
    <row collapsed="false" customFormat="false" customHeight="true" hidden="false" ht="16.2" outlineLevel="0" r="1108">
      <c r="A1108" s="80"/>
      <c r="B1108" s="81" t="s">
        <v>784</v>
      </c>
      <c r="C1108" s="85"/>
      <c r="D1108" s="85" t="s">
        <v>1054</v>
      </c>
      <c r="E1108" s="83" t="s">
        <v>1037</v>
      </c>
      <c r="F1108" s="49" t="s">
        <v>1036</v>
      </c>
      <c r="G1108" s="85" t="s">
        <v>1042</v>
      </c>
      <c r="H1108" s="85" t="n">
        <v>6</v>
      </c>
      <c r="I1108" s="85" t="n">
        <v>0</v>
      </c>
      <c r="J1108" s="85" t="n">
        <v>0</v>
      </c>
      <c r="K1108" s="85" t="s">
        <v>1041</v>
      </c>
      <c r="L1108" s="85" t="s">
        <v>1041</v>
      </c>
      <c r="M1108" s="81"/>
      <c r="N1108" s="81"/>
      <c r="O1108" s="96"/>
      <c r="P1108" s="81"/>
      <c r="Q1108" s="81"/>
      <c r="R1108" s="81"/>
      <c r="S1108" s="81"/>
      <c r="T1108" s="81"/>
      <c r="U1108" s="81"/>
      <c r="V1108" s="81"/>
      <c r="W1108" s="81"/>
      <c r="X1108" s="81"/>
      <c r="Y1108" s="81"/>
      <c r="Z1108" s="81"/>
      <c r="AA1108" s="81"/>
      <c r="AB1108" s="81"/>
      <c r="AC1108" s="81"/>
      <c r="AD1108" s="81"/>
      <c r="AE1108" s="81"/>
      <c r="AF1108" s="81"/>
      <c r="AG1108" s="81"/>
      <c r="AH1108" s="81"/>
      <c r="AI1108" s="81"/>
      <c r="AJ1108" s="81"/>
      <c r="AK1108" s="81"/>
      <c r="AL1108" s="81"/>
      <c r="AM1108" s="81"/>
    </row>
    <row collapsed="false" customFormat="false" customHeight="true" hidden="false" ht="16.2" outlineLevel="0" r="1109">
      <c r="A1109" s="80" t="n">
        <v>568</v>
      </c>
      <c r="B1109" s="81"/>
      <c r="C1109" s="82" t="s">
        <v>1033</v>
      </c>
      <c r="D1109" s="85"/>
      <c r="E1109" s="83" t="s">
        <v>1035</v>
      </c>
      <c r="F1109" s="49" t="s">
        <v>1036</v>
      </c>
      <c r="G1109" s="85"/>
      <c r="H1109" s="85"/>
      <c r="I1109" s="85"/>
      <c r="J1109" s="85"/>
      <c r="K1109" s="85"/>
      <c r="L1109" s="85"/>
      <c r="M1109" s="81" t="n">
        <v>15489</v>
      </c>
      <c r="N1109" s="81"/>
      <c r="O1109" s="96"/>
      <c r="P1109" s="81"/>
      <c r="Q1109" s="81"/>
      <c r="R1109" s="81"/>
      <c r="S1109" s="81"/>
      <c r="T1109" s="81"/>
      <c r="U1109" s="81"/>
      <c r="V1109" s="81"/>
      <c r="W1109" s="81"/>
      <c r="X1109" s="81"/>
      <c r="Y1109" s="81"/>
      <c r="Z1109" s="81"/>
      <c r="AA1109" s="81"/>
      <c r="AB1109" s="81"/>
      <c r="AC1109" s="81"/>
      <c r="AD1109" s="81"/>
      <c r="AE1109" s="81"/>
      <c r="AF1109" s="81"/>
      <c r="AG1109" s="81"/>
      <c r="AH1109" s="81"/>
      <c r="AI1109" s="81"/>
      <c r="AJ1109" s="81"/>
      <c r="AK1109" s="81"/>
      <c r="AL1109" s="81"/>
      <c r="AM1109" s="81"/>
    </row>
    <row collapsed="false" customFormat="false" customHeight="true" hidden="false" ht="16.2" outlineLevel="0" r="1110">
      <c r="A1110" s="80"/>
      <c r="B1110" s="81" t="s">
        <v>785</v>
      </c>
      <c r="C1110" s="85"/>
      <c r="D1110" s="85" t="s">
        <v>1054</v>
      </c>
      <c r="E1110" s="83" t="s">
        <v>1037</v>
      </c>
      <c r="F1110" s="49" t="s">
        <v>1036</v>
      </c>
      <c r="G1110" s="85" t="s">
        <v>1042</v>
      </c>
      <c r="H1110" s="85" t="n">
        <v>138</v>
      </c>
      <c r="I1110" s="85" t="s">
        <v>1046</v>
      </c>
      <c r="J1110" s="85" t="n">
        <v>5</v>
      </c>
      <c r="K1110" s="85" t="s">
        <v>1041</v>
      </c>
      <c r="L1110" s="85" t="s">
        <v>1041</v>
      </c>
      <c r="M1110" s="81" t="n">
        <v>15489</v>
      </c>
      <c r="N1110" s="81"/>
      <c r="O1110" s="96"/>
      <c r="P1110" s="81"/>
      <c r="Q1110" s="81"/>
      <c r="R1110" s="81"/>
      <c r="S1110" s="81"/>
      <c r="T1110" s="81"/>
      <c r="U1110" s="81"/>
      <c r="V1110" s="81"/>
      <c r="W1110" s="81"/>
      <c r="X1110" s="81"/>
      <c r="Y1110" s="81"/>
      <c r="Z1110" s="81"/>
      <c r="AA1110" s="81"/>
      <c r="AB1110" s="81"/>
      <c r="AC1110" s="81"/>
      <c r="AD1110" s="81"/>
      <c r="AE1110" s="81"/>
      <c r="AF1110" s="81"/>
      <c r="AG1110" s="81"/>
      <c r="AH1110" s="81"/>
      <c r="AI1110" s="81"/>
      <c r="AJ1110" s="81"/>
      <c r="AK1110" s="81"/>
      <c r="AL1110" s="81"/>
      <c r="AM1110" s="81"/>
    </row>
    <row collapsed="false" customFormat="false" customHeight="true" hidden="false" ht="16.2" outlineLevel="0" r="1111">
      <c r="A1111" s="80" t="n">
        <v>569</v>
      </c>
      <c r="B1111" s="81"/>
      <c r="C1111" s="82" t="s">
        <v>1033</v>
      </c>
      <c r="D1111" s="85"/>
      <c r="E1111" s="83" t="s">
        <v>1035</v>
      </c>
      <c r="F1111" s="49" t="s">
        <v>1036</v>
      </c>
      <c r="G1111" s="85"/>
      <c r="H1111" s="85"/>
      <c r="I1111" s="85"/>
      <c r="J1111" s="85"/>
      <c r="K1111" s="85"/>
      <c r="L1111" s="85"/>
      <c r="M1111" s="81" t="n">
        <v>16077</v>
      </c>
      <c r="N1111" s="81"/>
      <c r="O1111" s="96"/>
      <c r="P1111" s="81"/>
      <c r="Q1111" s="81"/>
      <c r="R1111" s="81"/>
      <c r="S1111" s="81"/>
      <c r="T1111" s="81"/>
      <c r="U1111" s="81"/>
      <c r="V1111" s="81"/>
      <c r="W1111" s="81"/>
      <c r="X1111" s="81"/>
      <c r="Y1111" s="81"/>
      <c r="Z1111" s="81"/>
      <c r="AA1111" s="81"/>
      <c r="AB1111" s="81"/>
      <c r="AC1111" s="81"/>
      <c r="AD1111" s="81"/>
      <c r="AE1111" s="81"/>
      <c r="AF1111" s="81"/>
      <c r="AG1111" s="81"/>
      <c r="AH1111" s="81"/>
      <c r="AI1111" s="81"/>
      <c r="AJ1111" s="81"/>
      <c r="AK1111" s="81"/>
      <c r="AL1111" s="81"/>
      <c r="AM1111" s="81"/>
    </row>
    <row collapsed="false" customFormat="false" customHeight="true" hidden="false" ht="16.2" outlineLevel="0" r="1112">
      <c r="A1112" s="80"/>
      <c r="B1112" s="81" t="s">
        <v>787</v>
      </c>
      <c r="C1112" s="85"/>
      <c r="D1112" s="85" t="s">
        <v>1054</v>
      </c>
      <c r="E1112" s="83" t="s">
        <v>1037</v>
      </c>
      <c r="F1112" s="49" t="s">
        <v>1036</v>
      </c>
      <c r="G1112" s="85" t="s">
        <v>1042</v>
      </c>
      <c r="H1112" s="85" t="n">
        <v>125</v>
      </c>
      <c r="I1112" s="85" t="s">
        <v>1046</v>
      </c>
      <c r="J1112" s="85" t="n">
        <v>5</v>
      </c>
      <c r="K1112" s="85" t="s">
        <v>1041</v>
      </c>
      <c r="L1112" s="85" t="s">
        <v>1041</v>
      </c>
      <c r="M1112" s="81" t="n">
        <v>16077</v>
      </c>
      <c r="N1112" s="81"/>
      <c r="O1112" s="96"/>
      <c r="P1112" s="81"/>
      <c r="Q1112" s="81"/>
      <c r="R1112" s="81"/>
      <c r="S1112" s="81"/>
      <c r="T1112" s="81"/>
      <c r="U1112" s="81"/>
      <c r="V1112" s="81"/>
      <c r="W1112" s="81"/>
      <c r="X1112" s="81"/>
      <c r="Y1112" s="81"/>
      <c r="Z1112" s="81"/>
      <c r="AA1112" s="81"/>
      <c r="AB1112" s="81"/>
      <c r="AC1112" s="81"/>
      <c r="AD1112" s="81"/>
      <c r="AE1112" s="81"/>
      <c r="AF1112" s="81"/>
      <c r="AG1112" s="81"/>
      <c r="AH1112" s="81"/>
      <c r="AI1112" s="81"/>
      <c r="AJ1112" s="81"/>
      <c r="AK1112" s="81"/>
      <c r="AL1112" s="81"/>
      <c r="AM1112" s="81"/>
    </row>
    <row collapsed="false" customFormat="false" customHeight="true" hidden="false" ht="16.2" outlineLevel="0" r="1113">
      <c r="A1113" s="80" t="n">
        <v>570</v>
      </c>
      <c r="B1113" s="81"/>
      <c r="C1113" s="82" t="s">
        <v>1033</v>
      </c>
      <c r="D1113" s="85"/>
      <c r="E1113" s="83" t="s">
        <v>1035</v>
      </c>
      <c r="F1113" s="49" t="s">
        <v>1036</v>
      </c>
      <c r="G1113" s="85"/>
      <c r="H1113" s="85"/>
      <c r="I1113" s="85"/>
      <c r="J1113" s="85"/>
      <c r="K1113" s="85"/>
      <c r="L1113" s="85"/>
      <c r="M1113" s="81"/>
      <c r="N1113" s="81"/>
      <c r="O1113" s="96"/>
      <c r="P1113" s="81"/>
      <c r="Q1113" s="81"/>
      <c r="R1113" s="81"/>
      <c r="S1113" s="81"/>
      <c r="T1113" s="81"/>
      <c r="U1113" s="81"/>
      <c r="V1113" s="81"/>
      <c r="W1113" s="81"/>
      <c r="X1113" s="81"/>
      <c r="Y1113" s="81"/>
      <c r="Z1113" s="81"/>
      <c r="AA1113" s="81"/>
      <c r="AB1113" s="81"/>
      <c r="AC1113" s="81"/>
      <c r="AD1113" s="81"/>
      <c r="AE1113" s="81"/>
      <c r="AF1113" s="81"/>
      <c r="AG1113" s="81"/>
      <c r="AH1113" s="81"/>
      <c r="AI1113" s="81"/>
      <c r="AJ1113" s="81"/>
      <c r="AK1113" s="81"/>
      <c r="AL1113" s="81"/>
      <c r="AM1113" s="81"/>
    </row>
    <row collapsed="false" customFormat="false" customHeight="true" hidden="false" ht="16.2" outlineLevel="0" r="1114">
      <c r="A1114" s="80"/>
      <c r="B1114" s="81" t="s">
        <v>790</v>
      </c>
      <c r="C1114" s="85"/>
      <c r="D1114" s="85" t="s">
        <v>1054</v>
      </c>
      <c r="E1114" s="83" t="s">
        <v>1037</v>
      </c>
      <c r="F1114" s="49" t="s">
        <v>1036</v>
      </c>
      <c r="G1114" s="85" t="s">
        <v>1039</v>
      </c>
      <c r="H1114" s="85" t="n">
        <v>24</v>
      </c>
      <c r="I1114" s="85" t="s">
        <v>1059</v>
      </c>
      <c r="J1114" s="85" t="n">
        <v>2</v>
      </c>
      <c r="K1114" s="85" t="s">
        <v>1041</v>
      </c>
      <c r="L1114" s="85" t="s">
        <v>1041</v>
      </c>
      <c r="M1114" s="81" t="n">
        <v>6570</v>
      </c>
      <c r="N1114" s="81"/>
      <c r="O1114" s="96"/>
      <c r="P1114" s="81"/>
      <c r="Q1114" s="81"/>
      <c r="R1114" s="81"/>
      <c r="S1114" s="81"/>
      <c r="T1114" s="81"/>
      <c r="U1114" s="81"/>
      <c r="V1114" s="81"/>
      <c r="W1114" s="81"/>
      <c r="X1114" s="81"/>
      <c r="Y1114" s="81"/>
      <c r="Z1114" s="81"/>
      <c r="AA1114" s="81"/>
      <c r="AB1114" s="81"/>
      <c r="AC1114" s="81"/>
      <c r="AD1114" s="81"/>
      <c r="AE1114" s="81"/>
      <c r="AF1114" s="81"/>
      <c r="AG1114" s="81"/>
      <c r="AH1114" s="81"/>
      <c r="AI1114" s="81"/>
      <c r="AJ1114" s="81"/>
      <c r="AK1114" s="81"/>
      <c r="AL1114" s="81"/>
      <c r="AM1114" s="81"/>
    </row>
    <row collapsed="false" customFormat="false" customHeight="true" hidden="false" ht="16.2" outlineLevel="0" r="1115">
      <c r="A1115" s="80" t="n">
        <v>571</v>
      </c>
      <c r="B1115" s="81"/>
      <c r="C1115" s="82" t="s">
        <v>1033</v>
      </c>
      <c r="D1115" s="85"/>
      <c r="E1115" s="83" t="s">
        <v>1035</v>
      </c>
      <c r="F1115" s="49" t="s">
        <v>1036</v>
      </c>
      <c r="G1115" s="85"/>
      <c r="H1115" s="85"/>
      <c r="I1115" s="85"/>
      <c r="J1115" s="85"/>
      <c r="K1115" s="85"/>
      <c r="L1115" s="85"/>
      <c r="M1115" s="81" t="n">
        <v>532</v>
      </c>
      <c r="N1115" s="81"/>
      <c r="O1115" s="96"/>
      <c r="P1115" s="81"/>
      <c r="Q1115" s="81"/>
      <c r="R1115" s="81"/>
      <c r="S1115" s="81"/>
      <c r="T1115" s="81"/>
      <c r="U1115" s="81"/>
      <c r="V1115" s="81"/>
      <c r="W1115" s="81"/>
      <c r="X1115" s="81"/>
      <c r="Y1115" s="81"/>
      <c r="Z1115" s="81"/>
      <c r="AA1115" s="81"/>
      <c r="AB1115" s="81"/>
      <c r="AC1115" s="81"/>
      <c r="AD1115" s="81"/>
      <c r="AE1115" s="81"/>
      <c r="AF1115" s="81"/>
      <c r="AG1115" s="81"/>
      <c r="AH1115" s="81"/>
      <c r="AI1115" s="81"/>
      <c r="AJ1115" s="81"/>
      <c r="AK1115" s="81"/>
      <c r="AL1115" s="81"/>
      <c r="AM1115" s="81"/>
    </row>
    <row collapsed="false" customFormat="false" customHeight="true" hidden="false" ht="16.2" outlineLevel="0" r="1116">
      <c r="A1116" s="80"/>
      <c r="B1116" s="81" t="s">
        <v>791</v>
      </c>
      <c r="C1116" s="85"/>
      <c r="D1116" s="85" t="s">
        <v>1054</v>
      </c>
      <c r="E1116" s="83" t="s">
        <v>1037</v>
      </c>
      <c r="F1116" s="49" t="s">
        <v>1036</v>
      </c>
      <c r="G1116" s="85" t="s">
        <v>1039</v>
      </c>
      <c r="H1116" s="85" t="n">
        <v>28</v>
      </c>
      <c r="I1116" s="85" t="s">
        <v>1059</v>
      </c>
      <c r="J1116" s="85" t="n">
        <v>3</v>
      </c>
      <c r="K1116" s="85" t="s">
        <v>1041</v>
      </c>
      <c r="L1116" s="85" t="s">
        <v>1041</v>
      </c>
      <c r="M1116" s="81" t="n">
        <v>532</v>
      </c>
      <c r="N1116" s="81"/>
      <c r="O1116" s="96"/>
      <c r="P1116" s="81"/>
      <c r="Q1116" s="81"/>
      <c r="R1116" s="81"/>
      <c r="S1116" s="81"/>
      <c r="T1116" s="81"/>
      <c r="U1116" s="81"/>
      <c r="V1116" s="81"/>
      <c r="W1116" s="81"/>
      <c r="X1116" s="81"/>
      <c r="Y1116" s="81"/>
      <c r="Z1116" s="81"/>
      <c r="AA1116" s="81"/>
      <c r="AB1116" s="81"/>
      <c r="AC1116" s="81"/>
      <c r="AD1116" s="81"/>
      <c r="AE1116" s="81"/>
      <c r="AF1116" s="81"/>
      <c r="AG1116" s="81"/>
      <c r="AH1116" s="81"/>
      <c r="AI1116" s="81"/>
      <c r="AJ1116" s="81"/>
      <c r="AK1116" s="81"/>
      <c r="AL1116" s="81"/>
      <c r="AM1116" s="81"/>
    </row>
    <row collapsed="false" customFormat="false" customHeight="true" hidden="false" ht="16.2" outlineLevel="0" r="1117">
      <c r="A1117" s="80" t="n">
        <v>572</v>
      </c>
      <c r="B1117" s="81"/>
      <c r="C1117" s="82" t="s">
        <v>1033</v>
      </c>
      <c r="D1117" s="85"/>
      <c r="E1117" s="83" t="s">
        <v>1035</v>
      </c>
      <c r="F1117" s="49" t="s">
        <v>1036</v>
      </c>
      <c r="G1117" s="85"/>
      <c r="H1117" s="85"/>
      <c r="I1117" s="85"/>
      <c r="J1117" s="85"/>
      <c r="K1117" s="85"/>
      <c r="L1117" s="85"/>
      <c r="M1117" s="81" t="n">
        <v>6900</v>
      </c>
      <c r="N1117" s="81"/>
      <c r="O1117" s="96"/>
      <c r="P1117" s="81"/>
      <c r="Q1117" s="81"/>
      <c r="R1117" s="81"/>
      <c r="S1117" s="81"/>
      <c r="T1117" s="81"/>
      <c r="U1117" s="81"/>
      <c r="V1117" s="81"/>
      <c r="W1117" s="81"/>
      <c r="X1117" s="81"/>
      <c r="Y1117" s="81"/>
      <c r="Z1117" s="81"/>
      <c r="AA1117" s="81"/>
      <c r="AB1117" s="81"/>
      <c r="AC1117" s="81"/>
      <c r="AD1117" s="81"/>
      <c r="AE1117" s="81"/>
      <c r="AF1117" s="81"/>
      <c r="AG1117" s="81"/>
      <c r="AH1117" s="81"/>
      <c r="AI1117" s="81"/>
      <c r="AJ1117" s="81"/>
      <c r="AK1117" s="81"/>
      <c r="AL1117" s="81"/>
      <c r="AM1117" s="81"/>
    </row>
    <row collapsed="false" customFormat="false" customHeight="true" hidden="false" ht="16.2" outlineLevel="0" r="1118">
      <c r="A1118" s="80"/>
      <c r="B1118" s="81" t="s">
        <v>792</v>
      </c>
      <c r="C1118" s="85"/>
      <c r="D1118" s="85" t="s">
        <v>1054</v>
      </c>
      <c r="E1118" s="83" t="s">
        <v>1037</v>
      </c>
      <c r="F1118" s="49" t="s">
        <v>1036</v>
      </c>
      <c r="G1118" s="85" t="s">
        <v>1052</v>
      </c>
      <c r="H1118" s="85" t="n">
        <v>58</v>
      </c>
      <c r="I1118" s="85" t="s">
        <v>1059</v>
      </c>
      <c r="J1118" s="85" t="n">
        <v>2</v>
      </c>
      <c r="K1118" s="85" t="s">
        <v>1041</v>
      </c>
      <c r="L1118" s="85" t="s">
        <v>1041</v>
      </c>
      <c r="M1118" s="81" t="n">
        <v>6900</v>
      </c>
      <c r="N1118" s="81"/>
      <c r="O1118" s="96"/>
      <c r="P1118" s="81"/>
      <c r="Q1118" s="81"/>
      <c r="R1118" s="81"/>
      <c r="S1118" s="81"/>
      <c r="T1118" s="81"/>
      <c r="U1118" s="81"/>
      <c r="V1118" s="81"/>
      <c r="W1118" s="81"/>
      <c r="X1118" s="81"/>
      <c r="Y1118" s="81"/>
      <c r="Z1118" s="81"/>
      <c r="AA1118" s="81"/>
      <c r="AB1118" s="81"/>
      <c r="AC1118" s="81"/>
      <c r="AD1118" s="81"/>
      <c r="AE1118" s="81"/>
      <c r="AF1118" s="81"/>
      <c r="AG1118" s="81"/>
      <c r="AH1118" s="81"/>
      <c r="AI1118" s="81"/>
      <c r="AJ1118" s="81"/>
      <c r="AK1118" s="81"/>
      <c r="AL1118" s="81"/>
      <c r="AM1118" s="81"/>
    </row>
    <row collapsed="false" customFormat="false" customHeight="true" hidden="false" ht="16.2" outlineLevel="0" r="1119">
      <c r="A1119" s="80" t="n">
        <v>573</v>
      </c>
      <c r="B1119" s="81"/>
      <c r="C1119" s="82" t="s">
        <v>1033</v>
      </c>
      <c r="D1119" s="85"/>
      <c r="E1119" s="83" t="s">
        <v>1035</v>
      </c>
      <c r="F1119" s="49" t="s">
        <v>1036</v>
      </c>
      <c r="G1119" s="85"/>
      <c r="H1119" s="85"/>
      <c r="I1119" s="85"/>
      <c r="J1119" s="85"/>
      <c r="K1119" s="85"/>
      <c r="L1119" s="85"/>
      <c r="M1119" s="81" t="n">
        <v>11163</v>
      </c>
      <c r="N1119" s="81"/>
      <c r="O1119" s="96"/>
      <c r="P1119" s="81"/>
      <c r="Q1119" s="81"/>
      <c r="R1119" s="81"/>
      <c r="S1119" s="81"/>
      <c r="T1119" s="81"/>
      <c r="U1119" s="81"/>
      <c r="V1119" s="81"/>
      <c r="W1119" s="81"/>
      <c r="X1119" s="81"/>
      <c r="Y1119" s="81"/>
      <c r="Z1119" s="81"/>
      <c r="AA1119" s="81"/>
      <c r="AB1119" s="81"/>
      <c r="AC1119" s="81"/>
      <c r="AD1119" s="81"/>
      <c r="AE1119" s="81"/>
      <c r="AF1119" s="81"/>
      <c r="AG1119" s="81"/>
      <c r="AH1119" s="81"/>
      <c r="AI1119" s="81"/>
      <c r="AJ1119" s="81"/>
      <c r="AK1119" s="81"/>
      <c r="AL1119" s="81"/>
      <c r="AM1119" s="81"/>
    </row>
    <row collapsed="false" customFormat="false" customHeight="true" hidden="false" ht="16.2" outlineLevel="0" r="1120">
      <c r="A1120" s="80"/>
      <c r="B1120" s="81" t="s">
        <v>794</v>
      </c>
      <c r="C1120" s="85"/>
      <c r="D1120" s="85" t="s">
        <v>1054</v>
      </c>
      <c r="E1120" s="83" t="s">
        <v>1037</v>
      </c>
      <c r="F1120" s="49" t="s">
        <v>1036</v>
      </c>
      <c r="G1120" s="85" t="s">
        <v>1052</v>
      </c>
      <c r="H1120" s="85" t="n">
        <v>53</v>
      </c>
      <c r="I1120" s="85" t="s">
        <v>1039</v>
      </c>
      <c r="J1120" s="85"/>
      <c r="K1120" s="85" t="s">
        <v>1041</v>
      </c>
      <c r="L1120" s="85" t="s">
        <v>1041</v>
      </c>
      <c r="M1120" s="81" t="n">
        <v>11163</v>
      </c>
      <c r="N1120" s="81"/>
      <c r="O1120" s="96"/>
      <c r="P1120" s="81"/>
      <c r="Q1120" s="81"/>
      <c r="R1120" s="81"/>
      <c r="S1120" s="81"/>
      <c r="T1120" s="81"/>
      <c r="U1120" s="81"/>
      <c r="V1120" s="81"/>
      <c r="W1120" s="81"/>
      <c r="X1120" s="81"/>
      <c r="Y1120" s="81"/>
      <c r="Z1120" s="81"/>
      <c r="AA1120" s="81"/>
      <c r="AB1120" s="81"/>
      <c r="AC1120" s="81"/>
      <c r="AD1120" s="81"/>
      <c r="AE1120" s="81"/>
      <c r="AF1120" s="81"/>
      <c r="AG1120" s="81"/>
      <c r="AH1120" s="81"/>
      <c r="AI1120" s="81"/>
      <c r="AJ1120" s="81"/>
      <c r="AK1120" s="81"/>
      <c r="AL1120" s="81"/>
      <c r="AM1120" s="81"/>
    </row>
    <row collapsed="false" customFormat="false" customHeight="true" hidden="false" ht="16.2" outlineLevel="0" r="1121">
      <c r="A1121" s="80" t="n">
        <v>574</v>
      </c>
      <c r="B1121" s="81"/>
      <c r="C1121" s="82" t="s">
        <v>1033</v>
      </c>
      <c r="D1121" s="85"/>
      <c r="E1121" s="83" t="s">
        <v>1035</v>
      </c>
      <c r="F1121" s="49" t="s">
        <v>1036</v>
      </c>
      <c r="G1121" s="85"/>
      <c r="H1121" s="85"/>
      <c r="I1121" s="85"/>
      <c r="J1121" s="85"/>
      <c r="K1121" s="85"/>
      <c r="L1121" s="85"/>
      <c r="M1121" s="81" t="n">
        <v>4506</v>
      </c>
      <c r="N1121" s="81"/>
      <c r="O1121" s="96"/>
      <c r="P1121" s="81"/>
      <c r="Q1121" s="81"/>
      <c r="R1121" s="81"/>
      <c r="S1121" s="81"/>
      <c r="T1121" s="81"/>
      <c r="U1121" s="81"/>
      <c r="V1121" s="81"/>
      <c r="W1121" s="81"/>
      <c r="X1121" s="81"/>
      <c r="Y1121" s="81"/>
      <c r="Z1121" s="81"/>
      <c r="AA1121" s="81"/>
      <c r="AB1121" s="81"/>
      <c r="AC1121" s="81"/>
      <c r="AD1121" s="81"/>
      <c r="AE1121" s="81"/>
      <c r="AF1121" s="81"/>
      <c r="AG1121" s="81"/>
      <c r="AH1121" s="81"/>
      <c r="AI1121" s="81"/>
      <c r="AJ1121" s="81"/>
      <c r="AK1121" s="81"/>
      <c r="AL1121" s="81"/>
      <c r="AM1121" s="81"/>
    </row>
    <row collapsed="false" customFormat="false" customHeight="true" hidden="false" ht="16.2" outlineLevel="0" r="1122">
      <c r="A1122" s="80"/>
      <c r="B1122" s="81" t="s">
        <v>796</v>
      </c>
      <c r="C1122" s="85"/>
      <c r="D1122" s="85" t="s">
        <v>1054</v>
      </c>
      <c r="E1122" s="83" t="s">
        <v>1037</v>
      </c>
      <c r="F1122" s="49" t="s">
        <v>1036</v>
      </c>
      <c r="G1122" s="85" t="s">
        <v>1052</v>
      </c>
      <c r="H1122" s="85" t="n">
        <v>92</v>
      </c>
      <c r="I1122" s="85" t="s">
        <v>1059</v>
      </c>
      <c r="J1122" s="85" t="n">
        <v>5</v>
      </c>
      <c r="K1122" s="85" t="s">
        <v>1041</v>
      </c>
      <c r="L1122" s="85" t="s">
        <v>1041</v>
      </c>
      <c r="M1122" s="81" t="n">
        <v>4506</v>
      </c>
      <c r="N1122" s="81"/>
      <c r="O1122" s="96"/>
      <c r="P1122" s="81"/>
      <c r="Q1122" s="81"/>
      <c r="R1122" s="81"/>
      <c r="S1122" s="81"/>
      <c r="T1122" s="81"/>
      <c r="U1122" s="81"/>
      <c r="V1122" s="81"/>
      <c r="W1122" s="81"/>
      <c r="X1122" s="81"/>
      <c r="Y1122" s="81"/>
      <c r="Z1122" s="81"/>
      <c r="AA1122" s="81"/>
      <c r="AB1122" s="81"/>
      <c r="AC1122" s="81"/>
      <c r="AD1122" s="81"/>
      <c r="AE1122" s="81"/>
      <c r="AF1122" s="81"/>
      <c r="AG1122" s="81"/>
      <c r="AH1122" s="81"/>
      <c r="AI1122" s="81"/>
      <c r="AJ1122" s="81"/>
      <c r="AK1122" s="81"/>
      <c r="AL1122" s="81"/>
      <c r="AM1122" s="81"/>
    </row>
    <row collapsed="false" customFormat="false" customHeight="true" hidden="false" ht="16.2" outlineLevel="0" r="1123">
      <c r="A1123" s="80" t="n">
        <v>575</v>
      </c>
      <c r="B1123" s="81"/>
      <c r="C1123" s="82" t="s">
        <v>1033</v>
      </c>
      <c r="D1123" s="85"/>
      <c r="E1123" s="83" t="s">
        <v>1035</v>
      </c>
      <c r="F1123" s="49" t="s">
        <v>1036</v>
      </c>
      <c r="G1123" s="85"/>
      <c r="H1123" s="85"/>
      <c r="I1123" s="85"/>
      <c r="J1123" s="85"/>
      <c r="K1123" s="85"/>
      <c r="L1123" s="85"/>
      <c r="M1123" s="81" t="n">
        <v>5364</v>
      </c>
      <c r="N1123" s="81"/>
      <c r="O1123" s="96"/>
      <c r="P1123" s="81"/>
      <c r="Q1123" s="81"/>
      <c r="R1123" s="81"/>
      <c r="S1123" s="81"/>
      <c r="T1123" s="81"/>
      <c r="U1123" s="81"/>
      <c r="V1123" s="81"/>
      <c r="W1123" s="81"/>
      <c r="X1123" s="81"/>
      <c r="Y1123" s="81"/>
      <c r="Z1123" s="81"/>
      <c r="AA1123" s="81"/>
      <c r="AB1123" s="81"/>
      <c r="AC1123" s="81"/>
      <c r="AD1123" s="81"/>
      <c r="AE1123" s="81"/>
      <c r="AF1123" s="81"/>
      <c r="AG1123" s="81"/>
      <c r="AH1123" s="81"/>
      <c r="AI1123" s="81"/>
      <c r="AJ1123" s="81"/>
      <c r="AK1123" s="81"/>
      <c r="AL1123" s="81"/>
      <c r="AM1123" s="81"/>
    </row>
    <row collapsed="false" customFormat="false" customHeight="true" hidden="false" ht="16.2" outlineLevel="0" r="1124">
      <c r="A1124" s="80"/>
      <c r="B1124" s="81" t="s">
        <v>797</v>
      </c>
      <c r="C1124" s="85"/>
      <c r="D1124" s="85" t="s">
        <v>1054</v>
      </c>
      <c r="E1124" s="83" t="s">
        <v>1037</v>
      </c>
      <c r="F1124" s="49" t="s">
        <v>1036</v>
      </c>
      <c r="G1124" s="85" t="s">
        <v>1042</v>
      </c>
      <c r="H1124" s="85" t="n">
        <v>108</v>
      </c>
      <c r="I1124" s="85" t="s">
        <v>1039</v>
      </c>
      <c r="J1124" s="85" t="n">
        <v>4</v>
      </c>
      <c r="K1124" s="85" t="s">
        <v>1041</v>
      </c>
      <c r="L1124" s="85" t="s">
        <v>1041</v>
      </c>
      <c r="M1124" s="81" t="n">
        <v>5364</v>
      </c>
      <c r="N1124" s="81"/>
      <c r="O1124" s="96"/>
      <c r="P1124" s="81"/>
      <c r="Q1124" s="81"/>
      <c r="R1124" s="81"/>
      <c r="S1124" s="81"/>
      <c r="T1124" s="81"/>
      <c r="U1124" s="81"/>
      <c r="V1124" s="81"/>
      <c r="W1124" s="81"/>
      <c r="X1124" s="81"/>
      <c r="Y1124" s="81"/>
      <c r="Z1124" s="81"/>
      <c r="AA1124" s="81"/>
      <c r="AB1124" s="81"/>
      <c r="AC1124" s="81"/>
      <c r="AD1124" s="81"/>
      <c r="AE1124" s="81"/>
      <c r="AF1124" s="81"/>
      <c r="AG1124" s="81"/>
      <c r="AH1124" s="81"/>
      <c r="AI1124" s="81"/>
      <c r="AJ1124" s="81"/>
      <c r="AK1124" s="81"/>
      <c r="AL1124" s="81"/>
      <c r="AM1124" s="81"/>
    </row>
    <row collapsed="false" customFormat="false" customHeight="true" hidden="false" ht="16.2" outlineLevel="0" r="1125">
      <c r="A1125" s="80" t="n">
        <v>576</v>
      </c>
      <c r="B1125" s="81"/>
      <c r="C1125" s="82" t="s">
        <v>1033</v>
      </c>
      <c r="D1125" s="85"/>
      <c r="E1125" s="83" t="s">
        <v>1035</v>
      </c>
      <c r="F1125" s="49" t="s">
        <v>1036</v>
      </c>
      <c r="G1125" s="85"/>
      <c r="H1125" s="85"/>
      <c r="I1125" s="85"/>
      <c r="J1125" s="85"/>
      <c r="K1125" s="85"/>
      <c r="L1125" s="85"/>
      <c r="M1125" s="81" t="n">
        <v>30012</v>
      </c>
      <c r="N1125" s="81"/>
      <c r="O1125" s="96"/>
      <c r="P1125" s="81"/>
      <c r="Q1125" s="81"/>
      <c r="R1125" s="81"/>
      <c r="S1125" s="81"/>
      <c r="T1125" s="81"/>
      <c r="U1125" s="81"/>
      <c r="V1125" s="81"/>
      <c r="W1125" s="81"/>
      <c r="X1125" s="81"/>
      <c r="Y1125" s="81"/>
      <c r="Z1125" s="81"/>
      <c r="AA1125" s="81"/>
      <c r="AB1125" s="81"/>
      <c r="AC1125" s="81"/>
      <c r="AD1125" s="81"/>
      <c r="AE1125" s="81"/>
      <c r="AF1125" s="81"/>
      <c r="AG1125" s="81"/>
      <c r="AH1125" s="81"/>
      <c r="AI1125" s="81"/>
      <c r="AJ1125" s="81"/>
      <c r="AK1125" s="81"/>
      <c r="AL1125" s="81"/>
      <c r="AM1125" s="81"/>
    </row>
    <row collapsed="false" customFormat="false" customHeight="true" hidden="false" ht="16.2" outlineLevel="0" r="1126">
      <c r="A1126" s="80"/>
      <c r="B1126" s="81" t="s">
        <v>799</v>
      </c>
      <c r="C1126" s="85"/>
      <c r="D1126" s="85" t="s">
        <v>1054</v>
      </c>
      <c r="E1126" s="83" t="s">
        <v>1037</v>
      </c>
      <c r="F1126" s="49" t="s">
        <v>1036</v>
      </c>
      <c r="G1126" s="85" t="s">
        <v>1067</v>
      </c>
      <c r="H1126" s="85" t="n">
        <v>74</v>
      </c>
      <c r="I1126" s="85" t="s">
        <v>1039</v>
      </c>
      <c r="J1126" s="85" t="n">
        <v>2</v>
      </c>
      <c r="K1126" s="85" t="s">
        <v>1041</v>
      </c>
      <c r="L1126" s="85" t="s">
        <v>1041</v>
      </c>
      <c r="M1126" s="81" t="n">
        <v>30012</v>
      </c>
      <c r="N1126" s="81"/>
      <c r="O1126" s="96"/>
      <c r="P1126" s="81"/>
      <c r="Q1126" s="81"/>
      <c r="R1126" s="81"/>
      <c r="S1126" s="81"/>
      <c r="T1126" s="81"/>
      <c r="U1126" s="81"/>
      <c r="V1126" s="81"/>
      <c r="W1126" s="81"/>
      <c r="X1126" s="81"/>
      <c r="Y1126" s="81"/>
      <c r="Z1126" s="81"/>
      <c r="AA1126" s="81"/>
      <c r="AB1126" s="81"/>
      <c r="AC1126" s="81"/>
      <c r="AD1126" s="81"/>
      <c r="AE1126" s="81"/>
      <c r="AF1126" s="81"/>
      <c r="AG1126" s="81"/>
      <c r="AH1126" s="81"/>
      <c r="AI1126" s="81"/>
      <c r="AJ1126" s="81"/>
      <c r="AK1126" s="81"/>
      <c r="AL1126" s="81"/>
      <c r="AM1126" s="81"/>
    </row>
    <row collapsed="false" customFormat="false" customHeight="true" hidden="false" ht="16.2" outlineLevel="0" r="1127">
      <c r="A1127" s="80" t="n">
        <v>577</v>
      </c>
      <c r="B1127" s="81"/>
      <c r="C1127" s="82" t="s">
        <v>1033</v>
      </c>
      <c r="D1127" s="85"/>
      <c r="E1127" s="83" t="s">
        <v>1035</v>
      </c>
      <c r="F1127" s="49" t="s">
        <v>1036</v>
      </c>
      <c r="G1127" s="85"/>
      <c r="H1127" s="85"/>
      <c r="I1127" s="85"/>
      <c r="J1127" s="85"/>
      <c r="K1127" s="85"/>
      <c r="L1127" s="85"/>
      <c r="M1127" s="81" t="n">
        <v>5346</v>
      </c>
      <c r="N1127" s="81"/>
      <c r="O1127" s="96"/>
      <c r="P1127" s="81"/>
      <c r="Q1127" s="81"/>
      <c r="R1127" s="81"/>
      <c r="S1127" s="81"/>
      <c r="T1127" s="81"/>
      <c r="U1127" s="81"/>
      <c r="V1127" s="81"/>
      <c r="W1127" s="81"/>
      <c r="X1127" s="81"/>
      <c r="Y1127" s="81"/>
      <c r="Z1127" s="81"/>
      <c r="AA1127" s="81"/>
      <c r="AB1127" s="81"/>
      <c r="AC1127" s="81"/>
      <c r="AD1127" s="81"/>
      <c r="AE1127" s="81"/>
      <c r="AF1127" s="81"/>
      <c r="AG1127" s="81"/>
      <c r="AH1127" s="81"/>
      <c r="AI1127" s="81"/>
      <c r="AJ1127" s="81"/>
      <c r="AK1127" s="81"/>
      <c r="AL1127" s="81"/>
      <c r="AM1127" s="81"/>
    </row>
    <row collapsed="false" customFormat="false" customHeight="true" hidden="false" ht="16.2" outlineLevel="0" r="1128">
      <c r="A1128" s="80"/>
      <c r="B1128" s="81" t="s">
        <v>800</v>
      </c>
      <c r="C1128" s="85"/>
      <c r="D1128" s="85" t="s">
        <v>1054</v>
      </c>
      <c r="E1128" s="83" t="s">
        <v>1037</v>
      </c>
      <c r="F1128" s="49" t="s">
        <v>1036</v>
      </c>
      <c r="G1128" s="85" t="s">
        <v>1042</v>
      </c>
      <c r="H1128" s="85" t="n">
        <v>79</v>
      </c>
      <c r="I1128" s="85" t="s">
        <v>1039</v>
      </c>
      <c r="J1128" s="85" t="n">
        <v>3</v>
      </c>
      <c r="K1128" s="85" t="s">
        <v>1041</v>
      </c>
      <c r="L1128" s="85" t="s">
        <v>1041</v>
      </c>
      <c r="M1128" s="81" t="n">
        <v>5346</v>
      </c>
      <c r="N1128" s="81"/>
      <c r="O1128" s="96"/>
      <c r="P1128" s="81"/>
      <c r="Q1128" s="81"/>
      <c r="R1128" s="81"/>
      <c r="S1128" s="81"/>
      <c r="T1128" s="81"/>
      <c r="U1128" s="81"/>
      <c r="V1128" s="81"/>
      <c r="W1128" s="81"/>
      <c r="X1128" s="81"/>
      <c r="Y1128" s="81"/>
      <c r="Z1128" s="81"/>
      <c r="AA1128" s="81"/>
      <c r="AB1128" s="81"/>
      <c r="AC1128" s="81"/>
      <c r="AD1128" s="81"/>
      <c r="AE1128" s="81"/>
      <c r="AF1128" s="81"/>
      <c r="AG1128" s="81"/>
      <c r="AH1128" s="81"/>
      <c r="AI1128" s="81"/>
      <c r="AJ1128" s="81"/>
      <c r="AK1128" s="81"/>
      <c r="AL1128" s="81"/>
      <c r="AM1128" s="81"/>
    </row>
    <row collapsed="false" customFormat="false" customHeight="true" hidden="false" ht="16.2" outlineLevel="0" r="1129">
      <c r="A1129" s="80" t="n">
        <v>578</v>
      </c>
      <c r="B1129" s="81"/>
      <c r="C1129" s="82" t="s">
        <v>1033</v>
      </c>
      <c r="D1129" s="85"/>
      <c r="E1129" s="83" t="s">
        <v>1035</v>
      </c>
      <c r="F1129" s="49" t="s">
        <v>1036</v>
      </c>
      <c r="G1129" s="85"/>
      <c r="H1129" s="85"/>
      <c r="I1129" s="85"/>
      <c r="J1129" s="85"/>
      <c r="K1129" s="85"/>
      <c r="L1129" s="85"/>
      <c r="M1129" s="81"/>
      <c r="N1129" s="81"/>
      <c r="O1129" s="96"/>
      <c r="P1129" s="81"/>
      <c r="Q1129" s="81"/>
      <c r="R1129" s="81"/>
      <c r="S1129" s="81"/>
      <c r="T1129" s="81"/>
      <c r="U1129" s="81"/>
      <c r="V1129" s="81"/>
      <c r="W1129" s="81"/>
      <c r="X1129" s="81"/>
      <c r="Y1129" s="81"/>
      <c r="Z1129" s="81"/>
      <c r="AA1129" s="81"/>
      <c r="AB1129" s="81"/>
      <c r="AC1129" s="81"/>
      <c r="AD1129" s="81"/>
      <c r="AE1129" s="81"/>
      <c r="AF1129" s="81"/>
      <c r="AG1129" s="81"/>
      <c r="AH1129" s="81"/>
      <c r="AI1129" s="81"/>
      <c r="AJ1129" s="81"/>
      <c r="AK1129" s="81"/>
      <c r="AL1129" s="81"/>
      <c r="AM1129" s="81"/>
    </row>
    <row collapsed="false" customFormat="false" customHeight="true" hidden="false" ht="16.2" outlineLevel="0" r="1130">
      <c r="A1130" s="80"/>
      <c r="B1130" s="81" t="s">
        <v>801</v>
      </c>
      <c r="C1130" s="85"/>
      <c r="D1130" s="85" t="s">
        <v>1054</v>
      </c>
      <c r="E1130" s="83" t="s">
        <v>1037</v>
      </c>
      <c r="F1130" s="49" t="s">
        <v>1036</v>
      </c>
      <c r="G1130" s="85" t="s">
        <v>1042</v>
      </c>
      <c r="H1130" s="85" t="n">
        <v>64</v>
      </c>
      <c r="I1130" s="85" t="s">
        <v>1039</v>
      </c>
      <c r="J1130" s="85" t="n">
        <v>3</v>
      </c>
      <c r="K1130" s="85" t="s">
        <v>1041</v>
      </c>
      <c r="L1130" s="85" t="s">
        <v>1041</v>
      </c>
      <c r="M1130" s="81" t="n">
        <v>3264</v>
      </c>
      <c r="N1130" s="81"/>
      <c r="O1130" s="96"/>
      <c r="P1130" s="81"/>
      <c r="Q1130" s="81"/>
      <c r="R1130" s="81"/>
      <c r="S1130" s="81"/>
      <c r="T1130" s="81"/>
      <c r="U1130" s="81"/>
      <c r="V1130" s="81"/>
      <c r="W1130" s="81"/>
      <c r="X1130" s="81"/>
      <c r="Y1130" s="81"/>
      <c r="Z1130" s="81"/>
      <c r="AA1130" s="81"/>
      <c r="AB1130" s="81"/>
      <c r="AC1130" s="81"/>
      <c r="AD1130" s="81"/>
      <c r="AE1130" s="81"/>
      <c r="AF1130" s="81"/>
      <c r="AG1130" s="81"/>
      <c r="AH1130" s="81"/>
      <c r="AI1130" s="81"/>
      <c r="AJ1130" s="81"/>
      <c r="AK1130" s="81"/>
      <c r="AL1130" s="81"/>
      <c r="AM1130" s="81"/>
    </row>
    <row collapsed="false" customFormat="false" customHeight="true" hidden="false" ht="16.2" outlineLevel="0" r="1131">
      <c r="A1131" s="80" t="n">
        <v>579</v>
      </c>
      <c r="B1131" s="81"/>
      <c r="C1131" s="82" t="s">
        <v>1033</v>
      </c>
      <c r="D1131" s="85"/>
      <c r="E1131" s="83" t="s">
        <v>1035</v>
      </c>
      <c r="F1131" s="49" t="s">
        <v>1036</v>
      </c>
      <c r="G1131" s="85"/>
      <c r="H1131" s="85"/>
      <c r="I1131" s="85"/>
      <c r="J1131" s="85"/>
      <c r="K1131" s="85"/>
      <c r="L1131" s="85"/>
      <c r="M1131" s="81"/>
      <c r="N1131" s="81"/>
      <c r="O1131" s="96"/>
      <c r="P1131" s="81"/>
      <c r="Q1131" s="81"/>
      <c r="R1131" s="81"/>
      <c r="S1131" s="81"/>
      <c r="T1131" s="81"/>
      <c r="U1131" s="81"/>
      <c r="V1131" s="81"/>
      <c r="W1131" s="81"/>
      <c r="X1131" s="81"/>
      <c r="Y1131" s="81"/>
      <c r="Z1131" s="81"/>
      <c r="AA1131" s="81"/>
      <c r="AB1131" s="81"/>
      <c r="AC1131" s="81"/>
      <c r="AD1131" s="81"/>
      <c r="AE1131" s="81"/>
      <c r="AF1131" s="81"/>
      <c r="AG1131" s="81"/>
      <c r="AH1131" s="81"/>
      <c r="AI1131" s="81"/>
      <c r="AJ1131" s="81"/>
      <c r="AK1131" s="81"/>
      <c r="AL1131" s="81"/>
      <c r="AM1131" s="81"/>
    </row>
    <row collapsed="false" customFormat="false" customHeight="true" hidden="false" ht="16.2" outlineLevel="0" r="1132">
      <c r="A1132" s="80"/>
      <c r="B1132" s="81" t="s">
        <v>802</v>
      </c>
      <c r="C1132" s="85"/>
      <c r="D1132" s="85" t="s">
        <v>1054</v>
      </c>
      <c r="E1132" s="83" t="s">
        <v>1037</v>
      </c>
      <c r="F1132" s="49" t="s">
        <v>1036</v>
      </c>
      <c r="G1132" s="85" t="s">
        <v>1042</v>
      </c>
      <c r="H1132" s="85" t="n">
        <v>64</v>
      </c>
      <c r="I1132" s="85" t="s">
        <v>1039</v>
      </c>
      <c r="J1132" s="85" t="n">
        <v>3</v>
      </c>
      <c r="K1132" s="85" t="s">
        <v>1041</v>
      </c>
      <c r="L1132" s="85" t="s">
        <v>1041</v>
      </c>
      <c r="M1132" s="81"/>
      <c r="N1132" s="81"/>
      <c r="O1132" s="96"/>
      <c r="P1132" s="81"/>
      <c r="Q1132" s="81"/>
      <c r="R1132" s="81"/>
      <c r="S1132" s="81"/>
      <c r="T1132" s="81"/>
      <c r="U1132" s="81"/>
      <c r="V1132" s="81"/>
      <c r="W1132" s="81"/>
      <c r="X1132" s="81"/>
      <c r="Y1132" s="81"/>
      <c r="Z1132" s="81"/>
      <c r="AA1132" s="81"/>
      <c r="AB1132" s="81"/>
      <c r="AC1132" s="81"/>
      <c r="AD1132" s="81"/>
      <c r="AE1132" s="81"/>
      <c r="AF1132" s="81"/>
      <c r="AG1132" s="81"/>
      <c r="AH1132" s="81"/>
      <c r="AI1132" s="81"/>
      <c r="AJ1132" s="81"/>
      <c r="AK1132" s="81"/>
      <c r="AL1132" s="81"/>
      <c r="AM1132" s="81"/>
    </row>
    <row collapsed="false" customFormat="false" customHeight="true" hidden="false" ht="16.2" outlineLevel="0" r="1133">
      <c r="A1133" s="80" t="n">
        <v>580</v>
      </c>
      <c r="B1133" s="81"/>
      <c r="C1133" s="82" t="s">
        <v>1033</v>
      </c>
      <c r="D1133" s="85"/>
      <c r="E1133" s="83" t="s">
        <v>1035</v>
      </c>
      <c r="F1133" s="49" t="s">
        <v>1036</v>
      </c>
      <c r="G1133" s="85"/>
      <c r="H1133" s="85"/>
      <c r="I1133" s="85"/>
      <c r="J1133" s="85"/>
      <c r="K1133" s="85"/>
      <c r="L1133" s="85"/>
      <c r="M1133" s="81"/>
      <c r="N1133" s="81"/>
      <c r="O1133" s="96"/>
      <c r="P1133" s="81"/>
      <c r="Q1133" s="81"/>
      <c r="R1133" s="81"/>
      <c r="S1133" s="81"/>
      <c r="T1133" s="81"/>
      <c r="U1133" s="81"/>
      <c r="V1133" s="81"/>
      <c r="W1133" s="81"/>
      <c r="X1133" s="81"/>
      <c r="Y1133" s="81"/>
      <c r="Z1133" s="81"/>
      <c r="AA1133" s="81"/>
      <c r="AB1133" s="81"/>
      <c r="AC1133" s="81"/>
      <c r="AD1133" s="81"/>
      <c r="AE1133" s="81"/>
      <c r="AF1133" s="81"/>
      <c r="AG1133" s="81"/>
      <c r="AH1133" s="81"/>
      <c r="AI1133" s="81"/>
      <c r="AJ1133" s="81"/>
      <c r="AK1133" s="81"/>
      <c r="AL1133" s="81"/>
      <c r="AM1133" s="81"/>
    </row>
    <row collapsed="false" customFormat="false" customHeight="true" hidden="false" ht="16.2" outlineLevel="0" r="1134">
      <c r="A1134" s="80"/>
      <c r="B1134" s="81" t="s">
        <v>803</v>
      </c>
      <c r="C1134" s="85"/>
      <c r="D1134" s="85" t="s">
        <v>1054</v>
      </c>
      <c r="E1134" s="83" t="s">
        <v>1037</v>
      </c>
      <c r="F1134" s="49" t="s">
        <v>1036</v>
      </c>
      <c r="G1134" s="85" t="s">
        <v>1042</v>
      </c>
      <c r="H1134" s="85" t="n">
        <v>126</v>
      </c>
      <c r="I1134" s="85" t="s">
        <v>1046</v>
      </c>
      <c r="J1134" s="85" t="n">
        <v>3</v>
      </c>
      <c r="K1134" s="85" t="s">
        <v>1041</v>
      </c>
      <c r="L1134" s="85" t="s">
        <v>1041</v>
      </c>
      <c r="M1134" s="81" t="n">
        <v>25014</v>
      </c>
      <c r="N1134" s="81"/>
      <c r="O1134" s="96"/>
      <c r="P1134" s="81"/>
      <c r="Q1134" s="81"/>
      <c r="R1134" s="81"/>
      <c r="S1134" s="81"/>
      <c r="T1134" s="81"/>
      <c r="U1134" s="81"/>
      <c r="V1134" s="81"/>
      <c r="W1134" s="81"/>
      <c r="X1134" s="81"/>
      <c r="Y1134" s="81"/>
      <c r="Z1134" s="81"/>
      <c r="AA1134" s="81"/>
      <c r="AB1134" s="81"/>
      <c r="AC1134" s="81"/>
      <c r="AD1134" s="81"/>
      <c r="AE1134" s="81"/>
      <c r="AF1134" s="81"/>
      <c r="AG1134" s="81"/>
      <c r="AH1134" s="81"/>
      <c r="AI1134" s="81"/>
      <c r="AJ1134" s="81"/>
      <c r="AK1134" s="81"/>
      <c r="AL1134" s="81"/>
      <c r="AM1134" s="81"/>
    </row>
    <row collapsed="false" customFormat="false" customHeight="true" hidden="false" ht="16.2" outlineLevel="0" r="1135">
      <c r="A1135" s="80" t="n">
        <v>581</v>
      </c>
      <c r="B1135" s="81"/>
      <c r="C1135" s="82" t="s">
        <v>1033</v>
      </c>
      <c r="D1135" s="85"/>
      <c r="E1135" s="83" t="s">
        <v>1035</v>
      </c>
      <c r="F1135" s="49" t="s">
        <v>1036</v>
      </c>
      <c r="G1135" s="85"/>
      <c r="H1135" s="85"/>
      <c r="I1135" s="85"/>
      <c r="J1135" s="85"/>
      <c r="K1135" s="85"/>
      <c r="L1135" s="85"/>
      <c r="M1135" s="81"/>
      <c r="N1135" s="81"/>
      <c r="O1135" s="96"/>
      <c r="P1135" s="81"/>
      <c r="Q1135" s="81"/>
      <c r="R1135" s="81"/>
      <c r="S1135" s="81"/>
      <c r="T1135" s="81"/>
      <c r="U1135" s="81"/>
      <c r="V1135" s="81"/>
      <c r="W1135" s="81"/>
      <c r="X1135" s="81"/>
      <c r="Y1135" s="81"/>
      <c r="Z1135" s="81"/>
      <c r="AA1135" s="81"/>
      <c r="AB1135" s="81"/>
      <c r="AC1135" s="81"/>
      <c r="AD1135" s="81"/>
      <c r="AE1135" s="81"/>
      <c r="AF1135" s="81"/>
      <c r="AG1135" s="81"/>
      <c r="AH1135" s="81"/>
      <c r="AI1135" s="81"/>
      <c r="AJ1135" s="81"/>
      <c r="AK1135" s="81"/>
      <c r="AL1135" s="81"/>
      <c r="AM1135" s="81"/>
    </row>
    <row collapsed="false" customFormat="false" customHeight="true" hidden="false" ht="16.2" outlineLevel="0" r="1136">
      <c r="A1136" s="80"/>
      <c r="B1136" s="81" t="s">
        <v>804</v>
      </c>
      <c r="C1136" s="85"/>
      <c r="D1136" s="85" t="s">
        <v>1054</v>
      </c>
      <c r="E1136" s="83" t="s">
        <v>1037</v>
      </c>
      <c r="F1136" s="49" t="s">
        <v>1036</v>
      </c>
      <c r="G1136" s="85" t="s">
        <v>1042</v>
      </c>
      <c r="H1136" s="85" t="n">
        <v>8</v>
      </c>
      <c r="I1136" s="85" t="s">
        <v>1046</v>
      </c>
      <c r="J1136" s="85" t="n">
        <v>1</v>
      </c>
      <c r="K1136" s="85" t="s">
        <v>1041</v>
      </c>
      <c r="L1136" s="85" t="s">
        <v>1041</v>
      </c>
      <c r="M1136" s="81" t="n">
        <v>240</v>
      </c>
      <c r="N1136" s="81"/>
      <c r="O1136" s="96"/>
      <c r="P1136" s="81"/>
      <c r="Q1136" s="81"/>
      <c r="R1136" s="81"/>
      <c r="S1136" s="81"/>
      <c r="T1136" s="81"/>
      <c r="U1136" s="81"/>
      <c r="V1136" s="81"/>
      <c r="W1136" s="81"/>
      <c r="X1136" s="81"/>
      <c r="Y1136" s="81"/>
      <c r="Z1136" s="81"/>
      <c r="AA1136" s="81"/>
      <c r="AB1136" s="81"/>
      <c r="AC1136" s="81"/>
      <c r="AD1136" s="81"/>
      <c r="AE1136" s="81"/>
      <c r="AF1136" s="81"/>
      <c r="AG1136" s="81"/>
      <c r="AH1136" s="81"/>
      <c r="AI1136" s="81"/>
      <c r="AJ1136" s="81"/>
      <c r="AK1136" s="81"/>
      <c r="AL1136" s="81"/>
      <c r="AM1136" s="81"/>
    </row>
    <row collapsed="false" customFormat="false" customHeight="true" hidden="false" ht="16.2" outlineLevel="0" r="1137">
      <c r="A1137" s="80" t="n">
        <v>582</v>
      </c>
      <c r="B1137" s="81"/>
      <c r="C1137" s="82" t="s">
        <v>1033</v>
      </c>
      <c r="D1137" s="85"/>
      <c r="E1137" s="83" t="s">
        <v>1035</v>
      </c>
      <c r="F1137" s="49" t="s">
        <v>1036</v>
      </c>
      <c r="G1137" s="85"/>
      <c r="H1137" s="85"/>
      <c r="I1137" s="85"/>
      <c r="J1137" s="85"/>
      <c r="K1137" s="85"/>
      <c r="L1137" s="85"/>
      <c r="M1137" s="81"/>
      <c r="N1137" s="81"/>
      <c r="O1137" s="96"/>
      <c r="P1137" s="81"/>
      <c r="Q1137" s="81"/>
      <c r="R1137" s="81"/>
      <c r="S1137" s="81"/>
      <c r="T1137" s="81"/>
      <c r="U1137" s="81"/>
      <c r="V1137" s="81"/>
      <c r="W1137" s="81"/>
      <c r="X1137" s="81"/>
      <c r="Y1137" s="81"/>
      <c r="Z1137" s="81"/>
      <c r="AA1137" s="81"/>
      <c r="AB1137" s="81"/>
      <c r="AC1137" s="81"/>
      <c r="AD1137" s="81"/>
      <c r="AE1137" s="81"/>
      <c r="AF1137" s="81"/>
      <c r="AG1137" s="81"/>
      <c r="AH1137" s="81"/>
      <c r="AI1137" s="81"/>
      <c r="AJ1137" s="81"/>
      <c r="AK1137" s="81"/>
      <c r="AL1137" s="81"/>
      <c r="AM1137" s="81"/>
    </row>
    <row collapsed="false" customFormat="false" customHeight="true" hidden="false" ht="16.2" outlineLevel="0" r="1138">
      <c r="A1138" s="80"/>
      <c r="B1138" s="81" t="s">
        <v>805</v>
      </c>
      <c r="C1138" s="85"/>
      <c r="D1138" s="85" t="s">
        <v>1054</v>
      </c>
      <c r="E1138" s="83" t="s">
        <v>1037</v>
      </c>
      <c r="F1138" s="49" t="s">
        <v>1036</v>
      </c>
      <c r="G1138" s="85" t="s">
        <v>1042</v>
      </c>
      <c r="H1138" s="85" t="n">
        <v>8</v>
      </c>
      <c r="I1138" s="85" t="s">
        <v>1046</v>
      </c>
      <c r="J1138" s="85" t="n">
        <v>1</v>
      </c>
      <c r="K1138" s="85" t="s">
        <v>1041</v>
      </c>
      <c r="L1138" s="85" t="s">
        <v>1041</v>
      </c>
      <c r="M1138" s="81" t="n">
        <v>1278</v>
      </c>
      <c r="N1138" s="81"/>
      <c r="O1138" s="96"/>
      <c r="P1138" s="81"/>
      <c r="Q1138" s="81"/>
      <c r="R1138" s="81"/>
      <c r="S1138" s="81"/>
      <c r="T1138" s="81"/>
      <c r="U1138" s="81"/>
      <c r="V1138" s="81"/>
      <c r="W1138" s="81"/>
      <c r="X1138" s="81"/>
      <c r="Y1138" s="81"/>
      <c r="Z1138" s="81"/>
      <c r="AA1138" s="81"/>
      <c r="AB1138" s="81"/>
      <c r="AC1138" s="81"/>
      <c r="AD1138" s="81"/>
      <c r="AE1138" s="81"/>
      <c r="AF1138" s="81"/>
      <c r="AG1138" s="81"/>
      <c r="AH1138" s="81"/>
      <c r="AI1138" s="81"/>
      <c r="AJ1138" s="81"/>
      <c r="AK1138" s="81"/>
      <c r="AL1138" s="81"/>
      <c r="AM1138" s="81"/>
    </row>
    <row collapsed="false" customFormat="false" customHeight="true" hidden="false" ht="16.2" outlineLevel="0" r="1139">
      <c r="A1139" s="80" t="n">
        <v>583</v>
      </c>
      <c r="B1139" s="81"/>
      <c r="C1139" s="82" t="s">
        <v>1033</v>
      </c>
      <c r="D1139" s="85"/>
      <c r="E1139" s="83" t="s">
        <v>1035</v>
      </c>
      <c r="F1139" s="49" t="s">
        <v>1036</v>
      </c>
      <c r="G1139" s="85"/>
      <c r="H1139" s="85"/>
      <c r="I1139" s="85"/>
      <c r="J1139" s="85"/>
      <c r="K1139" s="85"/>
      <c r="L1139" s="85"/>
      <c r="M1139" s="81" t="n">
        <v>8835</v>
      </c>
      <c r="N1139" s="81"/>
      <c r="O1139" s="96"/>
      <c r="P1139" s="81"/>
      <c r="Q1139" s="81"/>
      <c r="R1139" s="81"/>
      <c r="S1139" s="81"/>
      <c r="T1139" s="81"/>
      <c r="U1139" s="81"/>
      <c r="V1139" s="81"/>
      <c r="W1139" s="81"/>
      <c r="X1139" s="81"/>
      <c r="Y1139" s="81"/>
      <c r="Z1139" s="81"/>
      <c r="AA1139" s="81"/>
      <c r="AB1139" s="81"/>
      <c r="AC1139" s="81"/>
      <c r="AD1139" s="81"/>
      <c r="AE1139" s="81"/>
      <c r="AF1139" s="81"/>
      <c r="AG1139" s="81"/>
      <c r="AH1139" s="81"/>
      <c r="AI1139" s="81"/>
      <c r="AJ1139" s="81"/>
      <c r="AK1139" s="81"/>
      <c r="AL1139" s="81"/>
      <c r="AM1139" s="81"/>
    </row>
    <row collapsed="false" customFormat="false" customHeight="true" hidden="false" ht="16.2" outlineLevel="0" r="1140">
      <c r="A1140" s="80"/>
      <c r="B1140" s="81" t="s">
        <v>807</v>
      </c>
      <c r="C1140" s="85"/>
      <c r="D1140" s="85" t="s">
        <v>1054</v>
      </c>
      <c r="E1140" s="83" t="s">
        <v>1037</v>
      </c>
      <c r="F1140" s="49" t="s">
        <v>1036</v>
      </c>
      <c r="G1140" s="85" t="s">
        <v>1042</v>
      </c>
      <c r="H1140" s="85" t="n">
        <v>69</v>
      </c>
      <c r="I1140" s="85" t="s">
        <v>1046</v>
      </c>
      <c r="J1140" s="85" t="n">
        <v>3</v>
      </c>
      <c r="K1140" s="85" t="s">
        <v>1041</v>
      </c>
      <c r="L1140" s="85" t="s">
        <v>1041</v>
      </c>
      <c r="M1140" s="81" t="n">
        <v>8835</v>
      </c>
      <c r="N1140" s="81"/>
      <c r="O1140" s="96"/>
      <c r="P1140" s="81"/>
      <c r="Q1140" s="81"/>
      <c r="R1140" s="81"/>
      <c r="S1140" s="81"/>
      <c r="T1140" s="81"/>
      <c r="U1140" s="81"/>
      <c r="V1140" s="81"/>
      <c r="W1140" s="81"/>
      <c r="X1140" s="81"/>
      <c r="Y1140" s="81"/>
      <c r="Z1140" s="81"/>
      <c r="AA1140" s="81"/>
      <c r="AB1140" s="81"/>
      <c r="AC1140" s="81"/>
      <c r="AD1140" s="81"/>
      <c r="AE1140" s="81"/>
      <c r="AF1140" s="81"/>
      <c r="AG1140" s="81"/>
      <c r="AH1140" s="81"/>
      <c r="AI1140" s="81"/>
      <c r="AJ1140" s="81"/>
      <c r="AK1140" s="81"/>
      <c r="AL1140" s="81"/>
      <c r="AM1140" s="81"/>
    </row>
    <row collapsed="false" customFormat="false" customHeight="true" hidden="false" ht="16.2" outlineLevel="0" r="1141">
      <c r="A1141" s="80" t="n">
        <v>584</v>
      </c>
      <c r="B1141" s="81"/>
      <c r="C1141" s="82" t="s">
        <v>1033</v>
      </c>
      <c r="D1141" s="85"/>
      <c r="E1141" s="83" t="s">
        <v>1035</v>
      </c>
      <c r="F1141" s="49" t="s">
        <v>1036</v>
      </c>
      <c r="G1141" s="85"/>
      <c r="H1141" s="85"/>
      <c r="I1141" s="85"/>
      <c r="J1141" s="85"/>
      <c r="K1141" s="85"/>
      <c r="L1141" s="85"/>
      <c r="M1141" s="81" t="n">
        <v>6039</v>
      </c>
      <c r="N1141" s="81"/>
      <c r="O1141" s="96"/>
      <c r="P1141" s="81"/>
      <c r="Q1141" s="81"/>
      <c r="R1141" s="81"/>
      <c r="S1141" s="81"/>
      <c r="T1141" s="81"/>
      <c r="U1141" s="81"/>
      <c r="V1141" s="81"/>
      <c r="W1141" s="81"/>
      <c r="X1141" s="81"/>
      <c r="Y1141" s="81"/>
      <c r="Z1141" s="81"/>
      <c r="AA1141" s="81"/>
      <c r="AB1141" s="81"/>
      <c r="AC1141" s="81"/>
      <c r="AD1141" s="81"/>
      <c r="AE1141" s="81"/>
      <c r="AF1141" s="81"/>
      <c r="AG1141" s="81"/>
      <c r="AH1141" s="81"/>
      <c r="AI1141" s="81"/>
      <c r="AJ1141" s="81"/>
      <c r="AK1141" s="81"/>
      <c r="AL1141" s="81"/>
      <c r="AM1141" s="81"/>
    </row>
    <row collapsed="false" customFormat="false" customHeight="true" hidden="false" ht="16.2" outlineLevel="0" r="1142">
      <c r="A1142" s="80"/>
      <c r="B1142" s="81" t="s">
        <v>808</v>
      </c>
      <c r="C1142" s="85"/>
      <c r="D1142" s="85" t="s">
        <v>1054</v>
      </c>
      <c r="E1142" s="83" t="s">
        <v>1037</v>
      </c>
      <c r="F1142" s="49" t="s">
        <v>1036</v>
      </c>
      <c r="G1142" s="85" t="s">
        <v>1042</v>
      </c>
      <c r="H1142" s="85" t="n">
        <v>37</v>
      </c>
      <c r="I1142" s="85" t="s">
        <v>1039</v>
      </c>
      <c r="J1142" s="85" t="n">
        <v>2</v>
      </c>
      <c r="K1142" s="85" t="s">
        <v>1041</v>
      </c>
      <c r="L1142" s="85" t="s">
        <v>1041</v>
      </c>
      <c r="M1142" s="81" t="n">
        <v>6039</v>
      </c>
      <c r="N1142" s="81"/>
      <c r="O1142" s="96"/>
      <c r="P1142" s="81"/>
      <c r="Q1142" s="81"/>
      <c r="R1142" s="81"/>
      <c r="S1142" s="81"/>
      <c r="T1142" s="81"/>
      <c r="U1142" s="81"/>
      <c r="V1142" s="81"/>
      <c r="W1142" s="81"/>
      <c r="X1142" s="81"/>
      <c r="Y1142" s="81"/>
      <c r="Z1142" s="81"/>
      <c r="AA1142" s="81"/>
      <c r="AB1142" s="81"/>
      <c r="AC1142" s="81"/>
      <c r="AD1142" s="81"/>
      <c r="AE1142" s="81"/>
      <c r="AF1142" s="81"/>
      <c r="AG1142" s="81"/>
      <c r="AH1142" s="81"/>
      <c r="AI1142" s="81"/>
      <c r="AJ1142" s="81"/>
      <c r="AK1142" s="81"/>
      <c r="AL1142" s="81"/>
      <c r="AM1142" s="81"/>
    </row>
    <row collapsed="false" customFormat="false" customHeight="true" hidden="false" ht="16.2" outlineLevel="0" r="1143">
      <c r="A1143" s="80" t="n">
        <v>585</v>
      </c>
      <c r="B1143" s="81"/>
      <c r="C1143" s="82" t="s">
        <v>1033</v>
      </c>
      <c r="D1143" s="85"/>
      <c r="E1143" s="83" t="s">
        <v>1035</v>
      </c>
      <c r="F1143" s="49" t="s">
        <v>1036</v>
      </c>
      <c r="G1143" s="85"/>
      <c r="H1143" s="85"/>
      <c r="I1143" s="85"/>
      <c r="J1143" s="85"/>
      <c r="K1143" s="85"/>
      <c r="L1143" s="85"/>
      <c r="M1143" s="81" t="n">
        <v>11058</v>
      </c>
      <c r="N1143" s="81"/>
      <c r="O1143" s="96"/>
      <c r="P1143" s="81"/>
      <c r="Q1143" s="81"/>
      <c r="R1143" s="81"/>
      <c r="S1143" s="81"/>
      <c r="T1143" s="81"/>
      <c r="U1143" s="81"/>
      <c r="V1143" s="81"/>
      <c r="W1143" s="81"/>
      <c r="X1143" s="81"/>
      <c r="Y1143" s="81"/>
      <c r="Z1143" s="81"/>
      <c r="AA1143" s="81"/>
      <c r="AB1143" s="81"/>
      <c r="AC1143" s="81"/>
      <c r="AD1143" s="81"/>
      <c r="AE1143" s="81"/>
      <c r="AF1143" s="81"/>
      <c r="AG1143" s="81"/>
      <c r="AH1143" s="81"/>
      <c r="AI1143" s="81"/>
      <c r="AJ1143" s="81"/>
      <c r="AK1143" s="81"/>
      <c r="AL1143" s="81"/>
      <c r="AM1143" s="81"/>
    </row>
    <row collapsed="false" customFormat="false" customHeight="true" hidden="false" ht="16.2" outlineLevel="0" r="1144">
      <c r="A1144" s="80"/>
      <c r="B1144" s="81" t="s">
        <v>809</v>
      </c>
      <c r="C1144" s="85"/>
      <c r="D1144" s="85" t="s">
        <v>1054</v>
      </c>
      <c r="E1144" s="83" t="s">
        <v>1037</v>
      </c>
      <c r="F1144" s="49" t="s">
        <v>1036</v>
      </c>
      <c r="G1144" s="85" t="s">
        <v>1042</v>
      </c>
      <c r="H1144" s="85" t="n">
        <v>108</v>
      </c>
      <c r="I1144" s="85" t="s">
        <v>1039</v>
      </c>
      <c r="J1144" s="85" t="n">
        <v>3</v>
      </c>
      <c r="K1144" s="85" t="s">
        <v>1041</v>
      </c>
      <c r="L1144" s="85" t="s">
        <v>1041</v>
      </c>
      <c r="M1144" s="81" t="n">
        <v>11058</v>
      </c>
      <c r="N1144" s="81"/>
      <c r="O1144" s="96"/>
      <c r="P1144" s="81"/>
      <c r="Q1144" s="81"/>
      <c r="R1144" s="81"/>
      <c r="S1144" s="81"/>
      <c r="T1144" s="81"/>
      <c r="U1144" s="81"/>
      <c r="V1144" s="81"/>
      <c r="W1144" s="81"/>
      <c r="X1144" s="81"/>
      <c r="Y1144" s="81"/>
      <c r="Z1144" s="81"/>
      <c r="AA1144" s="81"/>
      <c r="AB1144" s="81"/>
      <c r="AC1144" s="81"/>
      <c r="AD1144" s="81"/>
      <c r="AE1144" s="81"/>
      <c r="AF1144" s="81"/>
      <c r="AG1144" s="81"/>
      <c r="AH1144" s="81"/>
      <c r="AI1144" s="81"/>
      <c r="AJ1144" s="81"/>
      <c r="AK1144" s="81"/>
      <c r="AL1144" s="81"/>
      <c r="AM1144" s="81"/>
    </row>
    <row collapsed="false" customFormat="false" customHeight="true" hidden="false" ht="16.2" outlineLevel="0" r="1145">
      <c r="A1145" s="80" t="n">
        <v>586</v>
      </c>
      <c r="B1145" s="81"/>
      <c r="C1145" s="82" t="s">
        <v>1033</v>
      </c>
      <c r="D1145" s="85"/>
      <c r="E1145" s="83" t="s">
        <v>1035</v>
      </c>
      <c r="F1145" s="49" t="s">
        <v>1036</v>
      </c>
      <c r="G1145" s="85"/>
      <c r="H1145" s="85"/>
      <c r="I1145" s="85"/>
      <c r="J1145" s="85"/>
      <c r="K1145" s="85"/>
      <c r="L1145" s="85"/>
      <c r="M1145" s="81" t="n">
        <v>6594</v>
      </c>
      <c r="N1145" s="81"/>
      <c r="O1145" s="96"/>
      <c r="P1145" s="81"/>
      <c r="Q1145" s="81"/>
      <c r="R1145" s="81"/>
      <c r="S1145" s="81"/>
      <c r="T1145" s="81"/>
      <c r="U1145" s="81"/>
      <c r="V1145" s="81"/>
      <c r="W1145" s="81"/>
      <c r="X1145" s="81"/>
      <c r="Y1145" s="81"/>
      <c r="Z1145" s="81"/>
      <c r="AA1145" s="81"/>
      <c r="AB1145" s="81"/>
      <c r="AC1145" s="81"/>
      <c r="AD1145" s="81"/>
      <c r="AE1145" s="81"/>
      <c r="AF1145" s="81"/>
      <c r="AG1145" s="81"/>
      <c r="AH1145" s="81"/>
      <c r="AI1145" s="81"/>
      <c r="AJ1145" s="81"/>
      <c r="AK1145" s="81"/>
      <c r="AL1145" s="81"/>
      <c r="AM1145" s="81"/>
    </row>
    <row collapsed="false" customFormat="false" customHeight="true" hidden="false" ht="16.2" outlineLevel="0" r="1146">
      <c r="A1146" s="80"/>
      <c r="B1146" s="81" t="s">
        <v>811</v>
      </c>
      <c r="C1146" s="85"/>
      <c r="D1146" s="85" t="s">
        <v>1054</v>
      </c>
      <c r="E1146" s="83" t="s">
        <v>1037</v>
      </c>
      <c r="F1146" s="49" t="s">
        <v>1036</v>
      </c>
      <c r="G1146" s="85" t="s">
        <v>1042</v>
      </c>
      <c r="H1146" s="85" t="n">
        <v>53</v>
      </c>
      <c r="I1146" s="85" t="s">
        <v>1059</v>
      </c>
      <c r="J1146" s="85" t="n">
        <v>2</v>
      </c>
      <c r="K1146" s="85" t="s">
        <v>1041</v>
      </c>
      <c r="L1146" s="85" t="s">
        <v>1041</v>
      </c>
      <c r="M1146" s="81" t="n">
        <v>6594</v>
      </c>
      <c r="N1146" s="81"/>
      <c r="O1146" s="96"/>
      <c r="P1146" s="81"/>
      <c r="Q1146" s="81"/>
      <c r="R1146" s="81"/>
      <c r="S1146" s="81"/>
      <c r="T1146" s="81"/>
      <c r="U1146" s="81"/>
      <c r="V1146" s="81"/>
      <c r="W1146" s="81"/>
      <c r="X1146" s="81"/>
      <c r="Y1146" s="81"/>
      <c r="Z1146" s="81"/>
      <c r="AA1146" s="81"/>
      <c r="AB1146" s="81"/>
      <c r="AC1146" s="81"/>
      <c r="AD1146" s="81"/>
      <c r="AE1146" s="81"/>
      <c r="AF1146" s="81"/>
      <c r="AG1146" s="81"/>
      <c r="AH1146" s="81"/>
      <c r="AI1146" s="81"/>
      <c r="AJ1146" s="81"/>
      <c r="AK1146" s="81"/>
      <c r="AL1146" s="81"/>
      <c r="AM1146" s="81"/>
    </row>
    <row collapsed="false" customFormat="false" customHeight="true" hidden="false" ht="16.2" outlineLevel="0" r="1147">
      <c r="A1147" s="80" t="n">
        <v>587</v>
      </c>
      <c r="B1147" s="81"/>
      <c r="C1147" s="82" t="s">
        <v>1033</v>
      </c>
      <c r="D1147" s="85"/>
      <c r="E1147" s="83" t="s">
        <v>1035</v>
      </c>
      <c r="F1147" s="49" t="s">
        <v>1036</v>
      </c>
      <c r="G1147" s="85"/>
      <c r="H1147" s="85"/>
      <c r="I1147" s="85"/>
      <c r="J1147" s="85"/>
      <c r="K1147" s="85"/>
      <c r="L1147" s="85"/>
      <c r="M1147" s="81" t="n">
        <v>7206</v>
      </c>
      <c r="N1147" s="81"/>
      <c r="O1147" s="96"/>
      <c r="P1147" s="81"/>
      <c r="Q1147" s="81"/>
      <c r="R1147" s="81"/>
      <c r="S1147" s="81"/>
      <c r="T1147" s="81"/>
      <c r="U1147" s="81"/>
      <c r="V1147" s="81"/>
      <c r="W1147" s="81"/>
      <c r="X1147" s="81"/>
      <c r="Y1147" s="81"/>
      <c r="Z1147" s="81"/>
      <c r="AA1147" s="81"/>
      <c r="AB1147" s="81"/>
      <c r="AC1147" s="81"/>
      <c r="AD1147" s="81"/>
      <c r="AE1147" s="81"/>
      <c r="AF1147" s="81"/>
      <c r="AG1147" s="81"/>
      <c r="AH1147" s="81"/>
      <c r="AI1147" s="81"/>
      <c r="AJ1147" s="81"/>
      <c r="AK1147" s="81"/>
      <c r="AL1147" s="81"/>
      <c r="AM1147" s="81"/>
    </row>
    <row collapsed="false" customFormat="false" customHeight="true" hidden="false" ht="16.2" outlineLevel="0" r="1148">
      <c r="A1148" s="80"/>
      <c r="B1148" s="81" t="s">
        <v>812</v>
      </c>
      <c r="C1148" s="85"/>
      <c r="D1148" s="85" t="s">
        <v>1054</v>
      </c>
      <c r="E1148" s="83" t="s">
        <v>1037</v>
      </c>
      <c r="F1148" s="49" t="s">
        <v>1036</v>
      </c>
      <c r="G1148" s="85" t="s">
        <v>1042</v>
      </c>
      <c r="H1148" s="85" t="n">
        <v>71</v>
      </c>
      <c r="I1148" s="85" t="s">
        <v>1059</v>
      </c>
      <c r="J1148" s="85" t="n">
        <v>5</v>
      </c>
      <c r="K1148" s="85" t="s">
        <v>1041</v>
      </c>
      <c r="L1148" s="85" t="s">
        <v>1041</v>
      </c>
      <c r="M1148" s="81" t="n">
        <v>7206</v>
      </c>
      <c r="N1148" s="81"/>
      <c r="O1148" s="96"/>
      <c r="P1148" s="81"/>
      <c r="Q1148" s="81"/>
      <c r="R1148" s="81"/>
      <c r="S1148" s="81"/>
      <c r="T1148" s="81"/>
      <c r="U1148" s="81"/>
      <c r="V1148" s="81"/>
      <c r="W1148" s="81"/>
      <c r="X1148" s="81"/>
      <c r="Y1148" s="81"/>
      <c r="Z1148" s="81"/>
      <c r="AA1148" s="81"/>
      <c r="AB1148" s="81"/>
      <c r="AC1148" s="81"/>
      <c r="AD1148" s="81"/>
      <c r="AE1148" s="81"/>
      <c r="AF1148" s="81"/>
      <c r="AG1148" s="81"/>
      <c r="AH1148" s="81"/>
      <c r="AI1148" s="81"/>
      <c r="AJ1148" s="81"/>
      <c r="AK1148" s="81"/>
      <c r="AL1148" s="81"/>
      <c r="AM1148" s="81"/>
    </row>
    <row collapsed="false" customFormat="false" customHeight="true" hidden="false" ht="16.2" outlineLevel="0" r="1149">
      <c r="A1149" s="80" t="n">
        <v>588</v>
      </c>
      <c r="B1149" s="81"/>
      <c r="C1149" s="82" t="s">
        <v>1033</v>
      </c>
      <c r="D1149" s="85"/>
      <c r="E1149" s="83" t="s">
        <v>1035</v>
      </c>
      <c r="F1149" s="49" t="s">
        <v>1036</v>
      </c>
      <c r="G1149" s="85"/>
      <c r="H1149" s="85"/>
      <c r="I1149" s="85"/>
      <c r="J1149" s="85"/>
      <c r="K1149" s="85"/>
      <c r="L1149" s="85"/>
      <c r="M1149" s="81" t="n">
        <v>20964</v>
      </c>
      <c r="N1149" s="81"/>
      <c r="O1149" s="96"/>
      <c r="P1149" s="81"/>
      <c r="Q1149" s="81"/>
      <c r="R1149" s="81"/>
      <c r="S1149" s="81"/>
      <c r="T1149" s="81"/>
      <c r="U1149" s="81"/>
      <c r="V1149" s="81"/>
      <c r="W1149" s="81"/>
      <c r="X1149" s="81"/>
      <c r="Y1149" s="81"/>
      <c r="Z1149" s="81"/>
      <c r="AA1149" s="81"/>
      <c r="AB1149" s="81"/>
      <c r="AC1149" s="81"/>
      <c r="AD1149" s="81"/>
      <c r="AE1149" s="81"/>
      <c r="AF1149" s="81"/>
      <c r="AG1149" s="81"/>
      <c r="AH1149" s="81"/>
      <c r="AI1149" s="81"/>
      <c r="AJ1149" s="81"/>
      <c r="AK1149" s="81"/>
      <c r="AL1149" s="81"/>
      <c r="AM1149" s="81"/>
    </row>
    <row collapsed="false" customFormat="false" customHeight="true" hidden="false" ht="16.2" outlineLevel="0" r="1150">
      <c r="A1150" s="80"/>
      <c r="B1150" s="81" t="s">
        <v>813</v>
      </c>
      <c r="C1150" s="85"/>
      <c r="D1150" s="85" t="s">
        <v>1054</v>
      </c>
      <c r="E1150" s="83" t="s">
        <v>1037</v>
      </c>
      <c r="F1150" s="49" t="s">
        <v>1036</v>
      </c>
      <c r="G1150" s="85" t="s">
        <v>1042</v>
      </c>
      <c r="H1150" s="85" t="n">
        <v>93</v>
      </c>
      <c r="I1150" s="85" t="s">
        <v>1046</v>
      </c>
      <c r="J1150" s="85" t="n">
        <v>7</v>
      </c>
      <c r="K1150" s="85" t="s">
        <v>1041</v>
      </c>
      <c r="L1150" s="85" t="s">
        <v>1041</v>
      </c>
      <c r="M1150" s="81" t="n">
        <v>20964</v>
      </c>
      <c r="N1150" s="81"/>
      <c r="O1150" s="96"/>
      <c r="P1150" s="81"/>
      <c r="Q1150" s="81"/>
      <c r="R1150" s="81"/>
      <c r="S1150" s="81"/>
      <c r="T1150" s="81"/>
      <c r="U1150" s="81"/>
      <c r="V1150" s="81"/>
      <c r="W1150" s="81"/>
      <c r="X1150" s="81"/>
      <c r="Y1150" s="81"/>
      <c r="Z1150" s="81"/>
      <c r="AA1150" s="81"/>
      <c r="AB1150" s="81"/>
      <c r="AC1150" s="81"/>
      <c r="AD1150" s="81"/>
      <c r="AE1150" s="81"/>
      <c r="AF1150" s="81"/>
      <c r="AG1150" s="81"/>
      <c r="AH1150" s="81"/>
      <c r="AI1150" s="81"/>
      <c r="AJ1150" s="81"/>
      <c r="AK1150" s="81"/>
      <c r="AL1150" s="81"/>
      <c r="AM1150" s="81"/>
    </row>
    <row collapsed="false" customFormat="false" customHeight="true" hidden="false" ht="16.2" outlineLevel="0" r="1151">
      <c r="A1151" s="80" t="n">
        <v>589</v>
      </c>
      <c r="B1151" s="81"/>
      <c r="C1151" s="82" t="s">
        <v>1033</v>
      </c>
      <c r="D1151" s="85"/>
      <c r="E1151" s="83" t="s">
        <v>1035</v>
      </c>
      <c r="F1151" s="49" t="s">
        <v>1036</v>
      </c>
      <c r="G1151" s="85"/>
      <c r="H1151" s="85"/>
      <c r="I1151" s="85"/>
      <c r="J1151" s="85"/>
      <c r="K1151" s="85"/>
      <c r="L1151" s="85"/>
      <c r="M1151" s="81" t="n">
        <v>19104</v>
      </c>
      <c r="N1151" s="81"/>
      <c r="O1151" s="96"/>
      <c r="P1151" s="81"/>
      <c r="Q1151" s="81"/>
      <c r="R1151" s="81"/>
      <c r="S1151" s="81"/>
      <c r="T1151" s="81"/>
      <c r="U1151" s="81"/>
      <c r="V1151" s="81"/>
      <c r="W1151" s="81"/>
      <c r="X1151" s="81"/>
      <c r="Y1151" s="81"/>
      <c r="Z1151" s="81"/>
      <c r="AA1151" s="81"/>
      <c r="AB1151" s="81"/>
      <c r="AC1151" s="81"/>
      <c r="AD1151" s="81"/>
      <c r="AE1151" s="81"/>
      <c r="AF1151" s="81"/>
      <c r="AG1151" s="81"/>
      <c r="AH1151" s="81"/>
      <c r="AI1151" s="81"/>
      <c r="AJ1151" s="81"/>
      <c r="AK1151" s="81"/>
      <c r="AL1151" s="81"/>
      <c r="AM1151" s="81"/>
    </row>
    <row collapsed="false" customFormat="false" customHeight="true" hidden="false" ht="16.2" outlineLevel="0" r="1152">
      <c r="A1152" s="80"/>
      <c r="B1152" s="81" t="s">
        <v>815</v>
      </c>
      <c r="C1152" s="85"/>
      <c r="D1152" s="85" t="s">
        <v>1054</v>
      </c>
      <c r="E1152" s="83" t="s">
        <v>1037</v>
      </c>
      <c r="F1152" s="49" t="s">
        <v>1036</v>
      </c>
      <c r="G1152" s="85" t="s">
        <v>1042</v>
      </c>
      <c r="H1152" s="85" t="n">
        <v>66</v>
      </c>
      <c r="I1152" s="85" t="s">
        <v>1046</v>
      </c>
      <c r="J1152" s="85" t="n">
        <v>7</v>
      </c>
      <c r="K1152" s="85" t="s">
        <v>1041</v>
      </c>
      <c r="L1152" s="85" t="s">
        <v>1041</v>
      </c>
      <c r="M1152" s="81" t="n">
        <v>19104</v>
      </c>
      <c r="N1152" s="81"/>
      <c r="O1152" s="96"/>
      <c r="P1152" s="81"/>
      <c r="Q1152" s="81"/>
      <c r="R1152" s="81"/>
      <c r="S1152" s="81"/>
      <c r="T1152" s="81"/>
      <c r="U1152" s="81"/>
      <c r="V1152" s="81"/>
      <c r="W1152" s="81"/>
      <c r="X1152" s="81"/>
      <c r="Y1152" s="81"/>
      <c r="Z1152" s="81"/>
      <c r="AA1152" s="81"/>
      <c r="AB1152" s="81"/>
      <c r="AC1152" s="81"/>
      <c r="AD1152" s="81"/>
      <c r="AE1152" s="81"/>
      <c r="AF1152" s="81"/>
      <c r="AG1152" s="81"/>
      <c r="AH1152" s="81"/>
      <c r="AI1152" s="81"/>
      <c r="AJ1152" s="81"/>
      <c r="AK1152" s="81"/>
      <c r="AL1152" s="81"/>
      <c r="AM1152" s="81"/>
    </row>
    <row collapsed="false" customFormat="false" customHeight="true" hidden="false" ht="16.2" outlineLevel="0" r="1153">
      <c r="A1153" s="80" t="n">
        <v>590</v>
      </c>
      <c r="B1153" s="81"/>
      <c r="C1153" s="82" t="s">
        <v>1033</v>
      </c>
      <c r="D1153" s="85"/>
      <c r="E1153" s="83" t="s">
        <v>1035</v>
      </c>
      <c r="F1153" s="49" t="s">
        <v>1036</v>
      </c>
      <c r="G1153" s="85"/>
      <c r="H1153" s="85"/>
      <c r="I1153" s="85"/>
      <c r="J1153" s="85"/>
      <c r="K1153" s="85"/>
      <c r="L1153" s="85"/>
      <c r="M1153" s="81"/>
      <c r="N1153" s="81"/>
      <c r="O1153" s="96"/>
      <c r="P1153" s="81"/>
      <c r="Q1153" s="81"/>
      <c r="R1153" s="81"/>
      <c r="S1153" s="81"/>
      <c r="T1153" s="81"/>
      <c r="U1153" s="81"/>
      <c r="V1153" s="81"/>
      <c r="W1153" s="81"/>
      <c r="X1153" s="81"/>
      <c r="Y1153" s="81"/>
      <c r="Z1153" s="81"/>
      <c r="AA1153" s="81"/>
      <c r="AB1153" s="81"/>
      <c r="AC1153" s="81"/>
      <c r="AD1153" s="81"/>
      <c r="AE1153" s="81"/>
      <c r="AF1153" s="81"/>
      <c r="AG1153" s="81"/>
      <c r="AH1153" s="81"/>
      <c r="AI1153" s="81"/>
      <c r="AJ1153" s="81"/>
      <c r="AK1153" s="81"/>
      <c r="AL1153" s="81"/>
      <c r="AM1153" s="81"/>
    </row>
    <row collapsed="false" customFormat="false" customHeight="true" hidden="false" ht="16.2" outlineLevel="0" r="1154">
      <c r="A1154" s="80"/>
      <c r="B1154" s="81" t="s">
        <v>816</v>
      </c>
      <c r="C1154" s="85"/>
      <c r="D1154" s="85" t="s">
        <v>1054</v>
      </c>
      <c r="E1154" s="83" t="s">
        <v>1037</v>
      </c>
      <c r="F1154" s="49" t="s">
        <v>1036</v>
      </c>
      <c r="G1154" s="85" t="s">
        <v>1042</v>
      </c>
      <c r="H1154" s="85" t="n">
        <v>36</v>
      </c>
      <c r="I1154" s="85" t="s">
        <v>1046</v>
      </c>
      <c r="J1154" s="85" t="n">
        <v>5</v>
      </c>
      <c r="K1154" s="85" t="s">
        <v>1041</v>
      </c>
      <c r="L1154" s="85" t="s">
        <v>1041</v>
      </c>
      <c r="M1154" s="81" t="n">
        <v>48234</v>
      </c>
      <c r="N1154" s="81"/>
      <c r="O1154" s="96"/>
      <c r="P1154" s="81"/>
      <c r="Q1154" s="81"/>
      <c r="R1154" s="81"/>
      <c r="S1154" s="81"/>
      <c r="T1154" s="81"/>
      <c r="U1154" s="81"/>
      <c r="V1154" s="81"/>
      <c r="W1154" s="81"/>
      <c r="X1154" s="81"/>
      <c r="Y1154" s="81"/>
      <c r="Z1154" s="81"/>
      <c r="AA1154" s="81"/>
      <c r="AB1154" s="81"/>
      <c r="AC1154" s="81"/>
      <c r="AD1154" s="81"/>
      <c r="AE1154" s="81"/>
      <c r="AF1154" s="81"/>
      <c r="AG1154" s="81"/>
      <c r="AH1154" s="81"/>
      <c r="AI1154" s="81"/>
      <c r="AJ1154" s="81"/>
      <c r="AK1154" s="81"/>
      <c r="AL1154" s="81"/>
      <c r="AM1154" s="81"/>
    </row>
    <row collapsed="false" customFormat="false" customHeight="true" hidden="false" ht="16.2" outlineLevel="0" r="1155">
      <c r="A1155" s="80" t="n">
        <v>591</v>
      </c>
      <c r="B1155" s="81"/>
      <c r="C1155" s="82" t="s">
        <v>1033</v>
      </c>
      <c r="D1155" s="85"/>
      <c r="E1155" s="83" t="s">
        <v>1035</v>
      </c>
      <c r="F1155" s="49" t="s">
        <v>1036</v>
      </c>
      <c r="G1155" s="85"/>
      <c r="H1155" s="85"/>
      <c r="I1155" s="85"/>
      <c r="J1155" s="85"/>
      <c r="K1155" s="85"/>
      <c r="L1155" s="85"/>
      <c r="M1155" s="81" t="n">
        <v>7500</v>
      </c>
      <c r="N1155" s="81"/>
      <c r="O1155" s="96"/>
      <c r="P1155" s="81"/>
      <c r="Q1155" s="81"/>
      <c r="R1155" s="81"/>
      <c r="S1155" s="81"/>
      <c r="T1155" s="81"/>
      <c r="U1155" s="81"/>
      <c r="V1155" s="81"/>
      <c r="W1155" s="81"/>
      <c r="X1155" s="81"/>
      <c r="Y1155" s="81"/>
      <c r="Z1155" s="81"/>
      <c r="AA1155" s="81"/>
      <c r="AB1155" s="81"/>
      <c r="AC1155" s="81"/>
      <c r="AD1155" s="81"/>
      <c r="AE1155" s="81"/>
      <c r="AF1155" s="81"/>
      <c r="AG1155" s="81"/>
      <c r="AH1155" s="81"/>
      <c r="AI1155" s="81"/>
      <c r="AJ1155" s="81"/>
      <c r="AK1155" s="81"/>
      <c r="AL1155" s="81"/>
      <c r="AM1155" s="81"/>
    </row>
    <row collapsed="false" customFormat="false" customHeight="true" hidden="false" ht="16.2" outlineLevel="0" r="1156">
      <c r="A1156" s="80"/>
      <c r="B1156" s="81" t="s">
        <v>817</v>
      </c>
      <c r="C1156" s="85"/>
      <c r="D1156" s="85" t="s">
        <v>1054</v>
      </c>
      <c r="E1156" s="83" t="s">
        <v>1037</v>
      </c>
      <c r="F1156" s="49" t="s">
        <v>1036</v>
      </c>
      <c r="G1156" s="85" t="s">
        <v>1042</v>
      </c>
      <c r="H1156" s="85" t="n">
        <v>79</v>
      </c>
      <c r="I1156" s="85" t="s">
        <v>1046</v>
      </c>
      <c r="J1156" s="85" t="n">
        <v>4</v>
      </c>
      <c r="K1156" s="85" t="s">
        <v>1041</v>
      </c>
      <c r="L1156" s="85" t="s">
        <v>1041</v>
      </c>
      <c r="M1156" s="81" t="n">
        <v>7500</v>
      </c>
      <c r="N1156" s="81"/>
      <c r="O1156" s="96"/>
      <c r="P1156" s="81"/>
      <c r="Q1156" s="81"/>
      <c r="R1156" s="81"/>
      <c r="S1156" s="81"/>
      <c r="T1156" s="81"/>
      <c r="U1156" s="81"/>
      <c r="V1156" s="81"/>
      <c r="W1156" s="81"/>
      <c r="X1156" s="81"/>
      <c r="Y1156" s="81"/>
      <c r="Z1156" s="81"/>
      <c r="AA1156" s="81"/>
      <c r="AB1156" s="81"/>
      <c r="AC1156" s="81"/>
      <c r="AD1156" s="81"/>
      <c r="AE1156" s="81"/>
      <c r="AF1156" s="81"/>
      <c r="AG1156" s="81"/>
      <c r="AH1156" s="81"/>
      <c r="AI1156" s="81"/>
      <c r="AJ1156" s="81"/>
      <c r="AK1156" s="81"/>
      <c r="AL1156" s="81"/>
      <c r="AM1156" s="81"/>
    </row>
    <row collapsed="false" customFormat="false" customHeight="true" hidden="false" ht="16.2" outlineLevel="0" r="1157">
      <c r="A1157" s="80" t="n">
        <v>592</v>
      </c>
      <c r="B1157" s="81"/>
      <c r="C1157" s="82" t="s">
        <v>1033</v>
      </c>
      <c r="D1157" s="85"/>
      <c r="E1157" s="83" t="s">
        <v>1035</v>
      </c>
      <c r="F1157" s="49" t="s">
        <v>1036</v>
      </c>
      <c r="G1157" s="85"/>
      <c r="H1157" s="85"/>
      <c r="I1157" s="85"/>
      <c r="J1157" s="85"/>
      <c r="K1157" s="85"/>
      <c r="L1157" s="85"/>
      <c r="M1157" s="81" t="n">
        <v>13755</v>
      </c>
      <c r="N1157" s="81"/>
      <c r="O1157" s="96"/>
      <c r="P1157" s="81"/>
      <c r="Q1157" s="81"/>
      <c r="R1157" s="81"/>
      <c r="S1157" s="81"/>
      <c r="T1157" s="81"/>
      <c r="U1157" s="81"/>
      <c r="V1157" s="81"/>
      <c r="W1157" s="81"/>
      <c r="X1157" s="81"/>
      <c r="Y1157" s="81"/>
      <c r="Z1157" s="81"/>
      <c r="AA1157" s="81"/>
      <c r="AB1157" s="81"/>
      <c r="AC1157" s="81"/>
      <c r="AD1157" s="81"/>
      <c r="AE1157" s="81"/>
      <c r="AF1157" s="81"/>
      <c r="AG1157" s="81"/>
      <c r="AH1157" s="81"/>
      <c r="AI1157" s="81"/>
      <c r="AJ1157" s="81"/>
      <c r="AK1157" s="81"/>
      <c r="AL1157" s="81"/>
      <c r="AM1157" s="81"/>
    </row>
    <row collapsed="false" customFormat="false" customHeight="true" hidden="false" ht="16.2" outlineLevel="0" r="1158">
      <c r="A1158" s="80"/>
      <c r="B1158" s="81" t="s">
        <v>818</v>
      </c>
      <c r="C1158" s="85"/>
      <c r="D1158" s="85" t="s">
        <v>1054</v>
      </c>
      <c r="E1158" s="83" t="s">
        <v>1037</v>
      </c>
      <c r="F1158" s="49" t="s">
        <v>1036</v>
      </c>
      <c r="G1158" s="85" t="s">
        <v>1042</v>
      </c>
      <c r="H1158" s="85" t="n">
        <v>72</v>
      </c>
      <c r="I1158" s="85" t="s">
        <v>1046</v>
      </c>
      <c r="J1158" s="85" t="n">
        <v>5</v>
      </c>
      <c r="K1158" s="85" t="s">
        <v>1041</v>
      </c>
      <c r="L1158" s="85" t="s">
        <v>1041</v>
      </c>
      <c r="M1158" s="81" t="n">
        <v>13755</v>
      </c>
      <c r="N1158" s="81"/>
      <c r="O1158" s="96"/>
      <c r="P1158" s="81"/>
      <c r="Q1158" s="81"/>
      <c r="R1158" s="81"/>
      <c r="S1158" s="81"/>
      <c r="T1158" s="81"/>
      <c r="U1158" s="81"/>
      <c r="V1158" s="81"/>
      <c r="W1158" s="81"/>
      <c r="X1158" s="81"/>
      <c r="Y1158" s="81"/>
      <c r="Z1158" s="81"/>
      <c r="AA1158" s="81"/>
      <c r="AB1158" s="81"/>
      <c r="AC1158" s="81"/>
      <c r="AD1158" s="81"/>
      <c r="AE1158" s="81"/>
      <c r="AF1158" s="81"/>
      <c r="AG1158" s="81"/>
      <c r="AH1158" s="81"/>
      <c r="AI1158" s="81"/>
      <c r="AJ1158" s="81"/>
      <c r="AK1158" s="81"/>
      <c r="AL1158" s="81"/>
      <c r="AM1158" s="81"/>
    </row>
    <row collapsed="false" customFormat="false" customHeight="true" hidden="false" ht="16.2" outlineLevel="0" r="1159">
      <c r="A1159" s="80" t="n">
        <v>593</v>
      </c>
      <c r="B1159" s="81"/>
      <c r="C1159" s="82" t="s">
        <v>1033</v>
      </c>
      <c r="D1159" s="85"/>
      <c r="E1159" s="83" t="s">
        <v>1035</v>
      </c>
      <c r="F1159" s="49" t="s">
        <v>1036</v>
      </c>
      <c r="G1159" s="85"/>
      <c r="H1159" s="85"/>
      <c r="I1159" s="85"/>
      <c r="J1159" s="85"/>
      <c r="K1159" s="85"/>
      <c r="L1159" s="85"/>
      <c r="M1159" s="81" t="n">
        <v>16137</v>
      </c>
      <c r="N1159" s="81"/>
      <c r="O1159" s="96"/>
      <c r="P1159" s="81"/>
      <c r="Q1159" s="81"/>
      <c r="R1159" s="81"/>
      <c r="S1159" s="81"/>
      <c r="T1159" s="81"/>
      <c r="U1159" s="81"/>
      <c r="V1159" s="81"/>
      <c r="W1159" s="81"/>
      <c r="X1159" s="81"/>
      <c r="Y1159" s="81"/>
      <c r="Z1159" s="81"/>
      <c r="AA1159" s="81"/>
      <c r="AB1159" s="81"/>
      <c r="AC1159" s="81"/>
      <c r="AD1159" s="81"/>
      <c r="AE1159" s="81"/>
      <c r="AF1159" s="81"/>
      <c r="AG1159" s="81"/>
      <c r="AH1159" s="81"/>
      <c r="AI1159" s="81"/>
      <c r="AJ1159" s="81"/>
      <c r="AK1159" s="81"/>
      <c r="AL1159" s="81"/>
      <c r="AM1159" s="81"/>
    </row>
    <row collapsed="false" customFormat="false" customHeight="true" hidden="false" ht="16.2" outlineLevel="0" r="1160">
      <c r="A1160" s="80"/>
      <c r="B1160" s="81" t="s">
        <v>819</v>
      </c>
      <c r="C1160" s="85"/>
      <c r="D1160" s="85" t="s">
        <v>1054</v>
      </c>
      <c r="E1160" s="83" t="s">
        <v>1037</v>
      </c>
      <c r="F1160" s="49" t="s">
        <v>1036</v>
      </c>
      <c r="G1160" s="85" t="s">
        <v>1042</v>
      </c>
      <c r="H1160" s="85" t="n">
        <v>121</v>
      </c>
      <c r="I1160" s="85" t="s">
        <v>1046</v>
      </c>
      <c r="J1160" s="85" t="n">
        <v>7</v>
      </c>
      <c r="K1160" s="85" t="s">
        <v>1041</v>
      </c>
      <c r="L1160" s="85" t="s">
        <v>1041</v>
      </c>
      <c r="M1160" s="81" t="n">
        <v>16137</v>
      </c>
      <c r="N1160" s="81"/>
      <c r="O1160" s="96"/>
      <c r="P1160" s="81"/>
      <c r="Q1160" s="81"/>
      <c r="R1160" s="81"/>
      <c r="S1160" s="81"/>
      <c r="T1160" s="81"/>
      <c r="U1160" s="81"/>
      <c r="V1160" s="81"/>
      <c r="W1160" s="81"/>
      <c r="X1160" s="81"/>
      <c r="Y1160" s="81"/>
      <c r="Z1160" s="81"/>
      <c r="AA1160" s="81"/>
      <c r="AB1160" s="81"/>
      <c r="AC1160" s="81"/>
      <c r="AD1160" s="81"/>
      <c r="AE1160" s="81"/>
      <c r="AF1160" s="81"/>
      <c r="AG1160" s="81"/>
      <c r="AH1160" s="81"/>
      <c r="AI1160" s="81"/>
      <c r="AJ1160" s="81"/>
      <c r="AK1160" s="81"/>
      <c r="AL1160" s="81"/>
      <c r="AM1160" s="81"/>
    </row>
    <row collapsed="false" customFormat="false" customHeight="true" hidden="false" ht="16.2" outlineLevel="0" r="1161">
      <c r="A1161" s="80" t="n">
        <v>594</v>
      </c>
      <c r="B1161" s="81"/>
      <c r="C1161" s="82" t="s">
        <v>1033</v>
      </c>
      <c r="D1161" s="85"/>
      <c r="E1161" s="83" t="s">
        <v>1035</v>
      </c>
      <c r="F1161" s="49" t="s">
        <v>1036</v>
      </c>
      <c r="G1161" s="85"/>
      <c r="H1161" s="85"/>
      <c r="I1161" s="85"/>
      <c r="J1161" s="85"/>
      <c r="K1161" s="85"/>
      <c r="L1161" s="85"/>
      <c r="M1161" s="81" t="n">
        <v>28380</v>
      </c>
      <c r="N1161" s="81"/>
      <c r="O1161" s="96"/>
      <c r="P1161" s="81"/>
      <c r="Q1161" s="81"/>
      <c r="R1161" s="81"/>
      <c r="S1161" s="81"/>
      <c r="T1161" s="81"/>
      <c r="U1161" s="81"/>
      <c r="V1161" s="81"/>
      <c r="W1161" s="81"/>
      <c r="X1161" s="81"/>
      <c r="Y1161" s="81"/>
      <c r="Z1161" s="81"/>
      <c r="AA1161" s="81"/>
      <c r="AB1161" s="81"/>
      <c r="AC1161" s="81"/>
      <c r="AD1161" s="81"/>
      <c r="AE1161" s="81"/>
      <c r="AF1161" s="81"/>
      <c r="AG1161" s="81"/>
      <c r="AH1161" s="81"/>
      <c r="AI1161" s="81"/>
      <c r="AJ1161" s="81"/>
      <c r="AK1161" s="81"/>
      <c r="AL1161" s="81"/>
      <c r="AM1161" s="81"/>
    </row>
    <row collapsed="false" customFormat="false" customHeight="true" hidden="false" ht="16.2" outlineLevel="0" r="1162">
      <c r="A1162" s="80"/>
      <c r="B1162" s="81" t="s">
        <v>821</v>
      </c>
      <c r="C1162" s="85"/>
      <c r="D1162" s="85" t="s">
        <v>1054</v>
      </c>
      <c r="E1162" s="83" t="s">
        <v>1037</v>
      </c>
      <c r="F1162" s="49" t="s">
        <v>1036</v>
      </c>
      <c r="G1162" s="85" t="s">
        <v>1042</v>
      </c>
      <c r="H1162" s="85" t="n">
        <v>183</v>
      </c>
      <c r="I1162" s="85" t="s">
        <v>1046</v>
      </c>
      <c r="J1162" s="85" t="n">
        <v>10</v>
      </c>
      <c r="K1162" s="85" t="s">
        <v>1041</v>
      </c>
      <c r="L1162" s="85" t="s">
        <v>1041</v>
      </c>
      <c r="M1162" s="81" t="n">
        <v>28380</v>
      </c>
      <c r="N1162" s="81"/>
      <c r="O1162" s="96"/>
      <c r="P1162" s="81"/>
      <c r="Q1162" s="81"/>
      <c r="R1162" s="81"/>
      <c r="S1162" s="81"/>
      <c r="T1162" s="81"/>
      <c r="U1162" s="81"/>
      <c r="V1162" s="81"/>
      <c r="W1162" s="81"/>
      <c r="X1162" s="81"/>
      <c r="Y1162" s="81"/>
      <c r="Z1162" s="81"/>
      <c r="AA1162" s="81"/>
      <c r="AB1162" s="81"/>
      <c r="AC1162" s="81"/>
      <c r="AD1162" s="81"/>
      <c r="AE1162" s="81"/>
      <c r="AF1162" s="81"/>
      <c r="AG1162" s="81"/>
      <c r="AH1162" s="81"/>
      <c r="AI1162" s="81"/>
      <c r="AJ1162" s="81"/>
      <c r="AK1162" s="81"/>
      <c r="AL1162" s="81"/>
      <c r="AM1162" s="81"/>
    </row>
    <row collapsed="false" customFormat="false" customHeight="true" hidden="false" ht="16.2" outlineLevel="0" r="1163">
      <c r="A1163" s="80" t="n">
        <v>595</v>
      </c>
      <c r="B1163" s="81"/>
      <c r="C1163" s="82" t="s">
        <v>1033</v>
      </c>
      <c r="D1163" s="85"/>
      <c r="E1163" s="83" t="s">
        <v>1035</v>
      </c>
      <c r="F1163" s="49" t="s">
        <v>1036</v>
      </c>
      <c r="G1163" s="85"/>
      <c r="H1163" s="85"/>
      <c r="I1163" s="85"/>
      <c r="J1163" s="85"/>
      <c r="K1163" s="85"/>
      <c r="L1163" s="85"/>
      <c r="M1163" s="81" t="n">
        <v>8451</v>
      </c>
      <c r="N1163" s="81"/>
      <c r="O1163" s="96"/>
      <c r="P1163" s="81"/>
      <c r="Q1163" s="81"/>
      <c r="R1163" s="81"/>
      <c r="S1163" s="81"/>
      <c r="T1163" s="81"/>
      <c r="U1163" s="81"/>
      <c r="V1163" s="81"/>
      <c r="W1163" s="81"/>
      <c r="X1163" s="81"/>
      <c r="Y1163" s="81"/>
      <c r="Z1163" s="81"/>
      <c r="AA1163" s="81"/>
      <c r="AB1163" s="81"/>
      <c r="AC1163" s="81"/>
      <c r="AD1163" s="81"/>
      <c r="AE1163" s="81"/>
      <c r="AF1163" s="81"/>
      <c r="AG1163" s="81"/>
      <c r="AH1163" s="81"/>
      <c r="AI1163" s="81"/>
      <c r="AJ1163" s="81"/>
      <c r="AK1163" s="81"/>
      <c r="AL1163" s="81"/>
      <c r="AM1163" s="81"/>
    </row>
    <row collapsed="false" customFormat="false" customHeight="true" hidden="false" ht="16.2" outlineLevel="0" r="1164">
      <c r="A1164" s="80"/>
      <c r="B1164" s="81" t="s">
        <v>823</v>
      </c>
      <c r="C1164" s="85"/>
      <c r="D1164" s="85" t="s">
        <v>1054</v>
      </c>
      <c r="E1164" s="83" t="s">
        <v>1037</v>
      </c>
      <c r="F1164" s="49" t="s">
        <v>1036</v>
      </c>
      <c r="G1164" s="85" t="s">
        <v>1042</v>
      </c>
      <c r="H1164" s="85" t="n">
        <v>53</v>
      </c>
      <c r="I1164" s="85" t="s">
        <v>1046</v>
      </c>
      <c r="J1164" s="85" t="n">
        <v>4</v>
      </c>
      <c r="K1164" s="85" t="s">
        <v>1041</v>
      </c>
      <c r="L1164" s="85" t="s">
        <v>1041</v>
      </c>
      <c r="M1164" s="81" t="n">
        <v>8451</v>
      </c>
      <c r="N1164" s="81"/>
      <c r="O1164" s="96"/>
      <c r="P1164" s="81"/>
      <c r="Q1164" s="81"/>
      <c r="R1164" s="81"/>
      <c r="S1164" s="81"/>
      <c r="T1164" s="81"/>
      <c r="U1164" s="81"/>
      <c r="V1164" s="81"/>
      <c r="W1164" s="81"/>
      <c r="X1164" s="81"/>
      <c r="Y1164" s="81"/>
      <c r="Z1164" s="81"/>
      <c r="AA1164" s="81"/>
      <c r="AB1164" s="81"/>
      <c r="AC1164" s="81"/>
      <c r="AD1164" s="81"/>
      <c r="AE1164" s="81"/>
      <c r="AF1164" s="81"/>
      <c r="AG1164" s="81"/>
      <c r="AH1164" s="81"/>
      <c r="AI1164" s="81"/>
      <c r="AJ1164" s="81"/>
      <c r="AK1164" s="81"/>
      <c r="AL1164" s="81"/>
      <c r="AM1164" s="81"/>
    </row>
    <row collapsed="false" customFormat="false" customHeight="true" hidden="false" ht="16.2" outlineLevel="0" r="1165">
      <c r="A1165" s="80" t="n">
        <v>596</v>
      </c>
      <c r="B1165" s="81"/>
      <c r="C1165" s="82" t="s">
        <v>1033</v>
      </c>
      <c r="D1165" s="85"/>
      <c r="E1165" s="83" t="s">
        <v>1035</v>
      </c>
      <c r="F1165" s="49" t="s">
        <v>1036</v>
      </c>
      <c r="G1165" s="85"/>
      <c r="H1165" s="85"/>
      <c r="I1165" s="85"/>
      <c r="J1165" s="85"/>
      <c r="K1165" s="85"/>
      <c r="L1165" s="85"/>
      <c r="M1165" s="81" t="n">
        <v>5079</v>
      </c>
      <c r="N1165" s="81"/>
      <c r="O1165" s="96"/>
      <c r="P1165" s="81"/>
      <c r="Q1165" s="81"/>
      <c r="R1165" s="81"/>
      <c r="S1165" s="81"/>
      <c r="T1165" s="81"/>
      <c r="U1165" s="81"/>
      <c r="V1165" s="81"/>
      <c r="W1165" s="81"/>
      <c r="X1165" s="81"/>
      <c r="Y1165" s="81"/>
      <c r="Z1165" s="81"/>
      <c r="AA1165" s="81"/>
      <c r="AB1165" s="81"/>
      <c r="AC1165" s="81"/>
      <c r="AD1165" s="81"/>
      <c r="AE1165" s="81"/>
      <c r="AF1165" s="81"/>
      <c r="AG1165" s="81"/>
      <c r="AH1165" s="81"/>
      <c r="AI1165" s="81"/>
      <c r="AJ1165" s="81"/>
      <c r="AK1165" s="81"/>
      <c r="AL1165" s="81"/>
      <c r="AM1165" s="81"/>
    </row>
    <row collapsed="false" customFormat="false" customHeight="true" hidden="false" ht="16.2" outlineLevel="0" r="1166">
      <c r="A1166" s="80"/>
      <c r="B1166" s="81" t="s">
        <v>824</v>
      </c>
      <c r="C1166" s="85"/>
      <c r="D1166" s="85" t="s">
        <v>1054</v>
      </c>
      <c r="E1166" s="83" t="s">
        <v>1037</v>
      </c>
      <c r="F1166" s="49" t="s">
        <v>1036</v>
      </c>
      <c r="G1166" s="85" t="s">
        <v>1039</v>
      </c>
      <c r="H1166" s="85" t="n">
        <v>50</v>
      </c>
      <c r="I1166" s="85" t="s">
        <v>1046</v>
      </c>
      <c r="J1166" s="85" t="n">
        <v>4</v>
      </c>
      <c r="K1166" s="85" t="s">
        <v>1041</v>
      </c>
      <c r="L1166" s="85" t="s">
        <v>1041</v>
      </c>
      <c r="M1166" s="81" t="n">
        <v>5079</v>
      </c>
      <c r="N1166" s="81"/>
      <c r="O1166" s="96"/>
      <c r="P1166" s="81"/>
      <c r="Q1166" s="81"/>
      <c r="R1166" s="81"/>
      <c r="S1166" s="81"/>
      <c r="T1166" s="81"/>
      <c r="U1166" s="81"/>
      <c r="V1166" s="81"/>
      <c r="W1166" s="81"/>
      <c r="X1166" s="81"/>
      <c r="Y1166" s="81"/>
      <c r="Z1166" s="81"/>
      <c r="AA1166" s="81"/>
      <c r="AB1166" s="81"/>
      <c r="AC1166" s="81"/>
      <c r="AD1166" s="81"/>
      <c r="AE1166" s="81"/>
      <c r="AF1166" s="81"/>
      <c r="AG1166" s="81"/>
      <c r="AH1166" s="81"/>
      <c r="AI1166" s="81"/>
      <c r="AJ1166" s="81"/>
      <c r="AK1166" s="81"/>
      <c r="AL1166" s="81"/>
      <c r="AM1166" s="81"/>
    </row>
    <row collapsed="false" customFormat="false" customHeight="true" hidden="false" ht="16.2" outlineLevel="0" r="1167">
      <c r="A1167" s="80" t="n">
        <v>597</v>
      </c>
      <c r="B1167" s="81" t="s">
        <v>826</v>
      </c>
      <c r="C1167" s="82" t="s">
        <v>1033</v>
      </c>
      <c r="D1167" s="82" t="s">
        <v>1034</v>
      </c>
      <c r="E1167" s="83" t="s">
        <v>1035</v>
      </c>
      <c r="F1167" s="84" t="s">
        <v>1036</v>
      </c>
      <c r="G1167" s="85"/>
      <c r="H1167" s="85"/>
      <c r="I1167" s="85"/>
      <c r="J1167" s="85"/>
      <c r="K1167" s="86" t="s">
        <v>53</v>
      </c>
      <c r="L1167" s="86" t="s">
        <v>53</v>
      </c>
      <c r="M1167" s="90"/>
      <c r="N1167" s="90"/>
      <c r="O1167" s="90"/>
      <c r="P1167" s="90"/>
      <c r="Q1167" s="81"/>
      <c r="R1167" s="81"/>
      <c r="S1167" s="81"/>
      <c r="T1167" s="81"/>
      <c r="U1167" s="81"/>
      <c r="V1167" s="81"/>
      <c r="W1167" s="81"/>
      <c r="X1167" s="81"/>
      <c r="Y1167" s="81"/>
      <c r="Z1167" s="81"/>
      <c r="AA1167" s="113"/>
      <c r="AB1167" s="81"/>
      <c r="AC1167" s="81"/>
      <c r="AD1167" s="81"/>
      <c r="AE1167" s="90"/>
      <c r="AF1167" s="81"/>
      <c r="AG1167" s="81"/>
      <c r="AH1167" s="81"/>
      <c r="AI1167" s="81"/>
      <c r="AJ1167" s="81"/>
      <c r="AK1167" s="81"/>
      <c r="AL1167" s="81"/>
      <c r="AM1167" s="81" t="n">
        <f aca="false">O1167+Q1167+S1167+U1167+W1167+Y1167+AA1168+AC1167+AE1167+AG1167+AI1167+AK1167</f>
        <v>148</v>
      </c>
    </row>
    <row collapsed="false" customFormat="false" customHeight="true" hidden="false" ht="16.2" outlineLevel="0" r="1168">
      <c r="A1168" s="80"/>
      <c r="B1168" s="89"/>
      <c r="C1168" s="85"/>
      <c r="D1168" s="85"/>
      <c r="E1168" s="83" t="s">
        <v>1037</v>
      </c>
      <c r="F1168" s="84" t="s">
        <v>1036</v>
      </c>
      <c r="G1168" s="85"/>
      <c r="H1168" s="85"/>
      <c r="I1168" s="85"/>
      <c r="J1168" s="85"/>
      <c r="K1168" s="86"/>
      <c r="L1168" s="86"/>
      <c r="M1168" s="90" t="n">
        <f aca="false">2870+2498</f>
        <v>5368</v>
      </c>
      <c r="N1168" s="91" t="n">
        <f aca="false">3202+2591</f>
        <v>5793</v>
      </c>
      <c r="O1168" s="90" t="n">
        <v>782</v>
      </c>
      <c r="P1168" s="90" t="s">
        <v>1005</v>
      </c>
      <c r="Q1168" s="81" t="n">
        <v>681</v>
      </c>
      <c r="R1168" s="81"/>
      <c r="S1168" s="81" t="n">
        <v>577</v>
      </c>
      <c r="T1168" s="81" t="s">
        <v>1005</v>
      </c>
      <c r="U1168" s="81" t="n">
        <v>517</v>
      </c>
      <c r="V1168" s="81" t="s">
        <v>1005</v>
      </c>
      <c r="W1168" s="81" t="n">
        <v>292</v>
      </c>
      <c r="X1168" s="81" t="s">
        <v>1005</v>
      </c>
      <c r="Y1168" s="81" t="n">
        <v>231</v>
      </c>
      <c r="Z1168" s="81" t="s">
        <v>1005</v>
      </c>
      <c r="AA1168" s="81" t="n">
        <v>148</v>
      </c>
      <c r="AB1168" s="81" t="s">
        <v>1005</v>
      </c>
      <c r="AC1168" s="81" t="n">
        <v>400</v>
      </c>
      <c r="AD1168" s="81" t="s">
        <v>1005</v>
      </c>
      <c r="AE1168" s="90" t="n">
        <v>400</v>
      </c>
      <c r="AF1168" s="81" t="s">
        <v>1005</v>
      </c>
      <c r="AG1168" s="81" t="n">
        <f aca="false">300+251</f>
        <v>551</v>
      </c>
      <c r="AH1168" s="81" t="s">
        <v>1005</v>
      </c>
      <c r="AI1168" s="81" t="n">
        <f aca="false">491+345</f>
        <v>836</v>
      </c>
      <c r="AJ1168" s="81" t="s">
        <v>1005</v>
      </c>
      <c r="AK1168" s="81" t="n">
        <f aca="false">575+368</f>
        <v>943</v>
      </c>
      <c r="AL1168" s="81" t="s">
        <v>1005</v>
      </c>
      <c r="AM1168" s="81" t="n">
        <f aca="false">O1168+Q1168+S1168+U1168+W1168+Y1168+AA1168+AC1168+AE1168+AG1168+AI1168+AK1168</f>
        <v>6358</v>
      </c>
    </row>
    <row collapsed="false" customFormat="false" customHeight="true" hidden="false" ht="16.2" outlineLevel="0" r="1169">
      <c r="A1169" s="80" t="n">
        <v>598</v>
      </c>
      <c r="B1169" s="81" t="s">
        <v>827</v>
      </c>
      <c r="C1169" s="82" t="s">
        <v>1033</v>
      </c>
      <c r="D1169" s="82" t="s">
        <v>1034</v>
      </c>
      <c r="E1169" s="83" t="s">
        <v>1035</v>
      </c>
      <c r="F1169" s="84" t="s">
        <v>1036</v>
      </c>
      <c r="G1169" s="85"/>
      <c r="H1169" s="85"/>
      <c r="I1169" s="85"/>
      <c r="J1169" s="85"/>
      <c r="K1169" s="86" t="s">
        <v>53</v>
      </c>
      <c r="L1169" s="86" t="s">
        <v>53</v>
      </c>
      <c r="M1169" s="90"/>
      <c r="N1169" s="90"/>
      <c r="O1169" s="90"/>
      <c r="P1169" s="90"/>
      <c r="Q1169" s="81"/>
      <c r="R1169" s="81"/>
      <c r="S1169" s="81"/>
      <c r="T1169" s="81"/>
      <c r="U1169" s="81"/>
      <c r="V1169" s="81"/>
      <c r="W1169" s="81"/>
      <c r="X1169" s="81"/>
      <c r="Y1169" s="81"/>
      <c r="Z1169" s="81"/>
      <c r="AA1169" s="81"/>
      <c r="AB1169" s="81"/>
      <c r="AC1169" s="81"/>
      <c r="AD1169" s="81"/>
      <c r="AE1169" s="90"/>
      <c r="AF1169" s="81"/>
      <c r="AG1169" s="81"/>
      <c r="AH1169" s="81"/>
      <c r="AI1169" s="81"/>
      <c r="AJ1169" s="81"/>
      <c r="AK1169" s="81"/>
      <c r="AL1169" s="81"/>
      <c r="AM1169" s="81" t="n">
        <f aca="false">O1169+Q1169+S1169+U1169+W1169+Y1169+AA1169+AC1169+AE1169+AG1169+AI1169+AK1169</f>
        <v>0</v>
      </c>
    </row>
    <row collapsed="false" customFormat="false" customHeight="true" hidden="false" ht="16.2" outlineLevel="0" r="1170">
      <c r="A1170" s="80"/>
      <c r="B1170" s="89"/>
      <c r="C1170" s="85"/>
      <c r="D1170" s="85"/>
      <c r="E1170" s="83" t="s">
        <v>1037</v>
      </c>
      <c r="F1170" s="84" t="s">
        <v>1036</v>
      </c>
      <c r="G1170" s="85"/>
      <c r="H1170" s="85"/>
      <c r="I1170" s="85"/>
      <c r="J1170" s="85"/>
      <c r="K1170" s="86"/>
      <c r="L1170" s="86"/>
      <c r="M1170" s="90" t="n">
        <f aca="false">3678+3962</f>
        <v>7640</v>
      </c>
      <c r="N1170" s="91" t="n">
        <f aca="false">4614+4669</f>
        <v>9283</v>
      </c>
      <c r="O1170" s="90" t="n">
        <v>1101</v>
      </c>
      <c r="P1170" s="90" t="s">
        <v>1005</v>
      </c>
      <c r="Q1170" s="81" t="n">
        <v>955</v>
      </c>
      <c r="R1170" s="81"/>
      <c r="S1170" s="81" t="n">
        <v>799</v>
      </c>
      <c r="T1170" s="81" t="s">
        <v>1005</v>
      </c>
      <c r="U1170" s="81" t="n">
        <v>767</v>
      </c>
      <c r="V1170" s="81" t="s">
        <v>1005</v>
      </c>
      <c r="W1170" s="81" t="n">
        <v>590</v>
      </c>
      <c r="X1170" s="81" t="s">
        <v>1005</v>
      </c>
      <c r="Y1170" s="81" t="n">
        <v>505</v>
      </c>
      <c r="Z1170" s="81" t="s">
        <v>1005</v>
      </c>
      <c r="AA1170" s="81" t="n">
        <v>442</v>
      </c>
      <c r="AB1170" s="81" t="s">
        <v>1005</v>
      </c>
      <c r="AC1170" s="81" t="n">
        <v>542</v>
      </c>
      <c r="AD1170" s="81" t="s">
        <v>1005</v>
      </c>
      <c r="AE1170" s="90" t="n">
        <v>542</v>
      </c>
      <c r="AF1170" s="81" t="s">
        <v>1005</v>
      </c>
      <c r="AG1170" s="81" t="n">
        <f aca="false">324+286</f>
        <v>610</v>
      </c>
      <c r="AH1170" s="81" t="s">
        <v>1005</v>
      </c>
      <c r="AI1170" s="81" t="n">
        <f aca="false">594+469</f>
        <v>1063</v>
      </c>
      <c r="AJ1170" s="81" t="s">
        <v>1005</v>
      </c>
      <c r="AK1170" s="81" t="n">
        <f aca="false">387+351</f>
        <v>738</v>
      </c>
      <c r="AL1170" s="81" t="s">
        <v>1005</v>
      </c>
      <c r="AM1170" s="81" t="n">
        <f aca="false">O1170+Q1170+S1170+U1170+W1170+Y1170+AA1170+AC1170+AE1170+AG1170+AI1170+AK1170</f>
        <v>8654</v>
      </c>
    </row>
    <row collapsed="false" customFormat="false" customHeight="true" hidden="false" ht="16.2" outlineLevel="0" r="1171">
      <c r="A1171" s="80" t="n">
        <v>599</v>
      </c>
      <c r="B1171" s="81" t="s">
        <v>828</v>
      </c>
      <c r="C1171" s="82" t="s">
        <v>1033</v>
      </c>
      <c r="D1171" s="82" t="s">
        <v>1034</v>
      </c>
      <c r="E1171" s="83" t="s">
        <v>1035</v>
      </c>
      <c r="F1171" s="84" t="s">
        <v>1036</v>
      </c>
      <c r="G1171" s="85"/>
      <c r="H1171" s="85"/>
      <c r="I1171" s="85"/>
      <c r="J1171" s="85"/>
      <c r="K1171" s="86" t="s">
        <v>53</v>
      </c>
      <c r="L1171" s="86" t="s">
        <v>53</v>
      </c>
      <c r="M1171" s="90"/>
      <c r="N1171" s="90"/>
      <c r="O1171" s="90"/>
      <c r="P1171" s="90"/>
      <c r="Q1171" s="81"/>
      <c r="R1171" s="81"/>
      <c r="S1171" s="81"/>
      <c r="T1171" s="81"/>
      <c r="U1171" s="81"/>
      <c r="V1171" s="81"/>
      <c r="W1171" s="81"/>
      <c r="X1171" s="81"/>
      <c r="Y1171" s="81"/>
      <c r="Z1171" s="81"/>
      <c r="AA1171" s="81"/>
      <c r="AB1171" s="81"/>
      <c r="AC1171" s="81"/>
      <c r="AD1171" s="81"/>
      <c r="AE1171" s="90"/>
      <c r="AF1171" s="81"/>
      <c r="AG1171" s="81"/>
      <c r="AH1171" s="81"/>
      <c r="AI1171" s="81"/>
      <c r="AJ1171" s="81"/>
      <c r="AK1171" s="81"/>
      <c r="AL1171" s="81"/>
      <c r="AM1171" s="81" t="n">
        <f aca="false">O1171+Q1171+S1171+U1171+W1171+Y1171+AA1171+AC1171+AE1171+AG1171+AI1171+AK1171</f>
        <v>0</v>
      </c>
    </row>
    <row collapsed="false" customFormat="false" customHeight="true" hidden="false" ht="16.2" outlineLevel="0" r="1172">
      <c r="A1172" s="80"/>
      <c r="B1172" s="89"/>
      <c r="C1172" s="85"/>
      <c r="D1172" s="85"/>
      <c r="E1172" s="83" t="s">
        <v>1037</v>
      </c>
      <c r="F1172" s="84" t="s">
        <v>1036</v>
      </c>
      <c r="G1172" s="85"/>
      <c r="H1172" s="85"/>
      <c r="I1172" s="85"/>
      <c r="J1172" s="85"/>
      <c r="K1172" s="86"/>
      <c r="L1172" s="86"/>
      <c r="M1172" s="90" t="n">
        <f aca="false">1986</f>
        <v>1986</v>
      </c>
      <c r="N1172" s="91" t="n">
        <f aca="false">2322</f>
        <v>2322</v>
      </c>
      <c r="O1172" s="90" t="n">
        <v>275</v>
      </c>
      <c r="P1172" s="90" t="s">
        <v>1005</v>
      </c>
      <c r="Q1172" s="81" t="n">
        <v>233</v>
      </c>
      <c r="R1172" s="81"/>
      <c r="S1172" s="81" t="n">
        <v>203</v>
      </c>
      <c r="T1172" s="81" t="s">
        <v>1005</v>
      </c>
      <c r="U1172" s="81" t="n">
        <v>181</v>
      </c>
      <c r="V1172" s="81" t="s">
        <v>1005</v>
      </c>
      <c r="W1172" s="81" t="n">
        <v>139</v>
      </c>
      <c r="X1172" s="81" t="s">
        <v>1005</v>
      </c>
      <c r="Y1172" s="81" t="n">
        <v>100</v>
      </c>
      <c r="Z1172" s="81" t="s">
        <v>1005</v>
      </c>
      <c r="AA1172" s="81" t="n">
        <v>72</v>
      </c>
      <c r="AB1172" s="81" t="s">
        <v>1005</v>
      </c>
      <c r="AC1172" s="81" t="n">
        <v>178</v>
      </c>
      <c r="AD1172" s="81" t="s">
        <v>1005</v>
      </c>
      <c r="AE1172" s="90" t="n">
        <v>178</v>
      </c>
      <c r="AF1172" s="81" t="s">
        <v>1005</v>
      </c>
      <c r="AG1172" s="81" t="n">
        <f aca="false">241</f>
        <v>241</v>
      </c>
      <c r="AH1172" s="81" t="s">
        <v>1005</v>
      </c>
      <c r="AI1172" s="81" t="n">
        <v>292</v>
      </c>
      <c r="AJ1172" s="81" t="s">
        <v>1005</v>
      </c>
      <c r="AK1172" s="81" t="n">
        <f aca="false">363</f>
        <v>363</v>
      </c>
      <c r="AL1172" s="81" t="s">
        <v>1005</v>
      </c>
      <c r="AM1172" s="81" t="n">
        <f aca="false">O1172+Q1172+S1172+U1172+W1172+Y1172+AA1172+AC1172+AE1172+AG1172+AI1172+AK1172</f>
        <v>2455</v>
      </c>
    </row>
    <row collapsed="false" customFormat="false" customHeight="true" hidden="false" ht="16.2" outlineLevel="0" r="1173">
      <c r="A1173" s="80" t="n">
        <v>600</v>
      </c>
      <c r="B1173" s="81" t="s">
        <v>829</v>
      </c>
      <c r="C1173" s="82" t="s">
        <v>1033</v>
      </c>
      <c r="D1173" s="82" t="s">
        <v>1034</v>
      </c>
      <c r="E1173" s="83" t="s">
        <v>1035</v>
      </c>
      <c r="F1173" s="84" t="s">
        <v>1036</v>
      </c>
      <c r="G1173" s="85"/>
      <c r="H1173" s="85"/>
      <c r="I1173" s="85"/>
      <c r="J1173" s="85"/>
      <c r="K1173" s="86" t="s">
        <v>53</v>
      </c>
      <c r="L1173" s="86" t="s">
        <v>53</v>
      </c>
      <c r="M1173" s="90"/>
      <c r="N1173" s="90"/>
      <c r="O1173" s="90"/>
      <c r="P1173" s="90"/>
      <c r="Q1173" s="81"/>
      <c r="R1173" s="81"/>
      <c r="S1173" s="81"/>
      <c r="T1173" s="81"/>
      <c r="U1173" s="81"/>
      <c r="V1173" s="81"/>
      <c r="W1173" s="81"/>
      <c r="X1173" s="81"/>
      <c r="Y1173" s="81"/>
      <c r="Z1173" s="81"/>
      <c r="AA1173" s="81"/>
      <c r="AB1173" s="81"/>
      <c r="AC1173" s="81"/>
      <c r="AD1173" s="81"/>
      <c r="AE1173" s="90"/>
      <c r="AF1173" s="81"/>
      <c r="AG1173" s="81"/>
      <c r="AH1173" s="81"/>
      <c r="AI1173" s="81"/>
      <c r="AJ1173" s="81"/>
      <c r="AK1173" s="81"/>
      <c r="AL1173" s="81"/>
      <c r="AM1173" s="81" t="n">
        <f aca="false">O1173+Q1173+S1173+U1173+W1173+Y1173+AA1173+AC1173+AE1173+AG1173+AI1173+AK1173</f>
        <v>0</v>
      </c>
    </row>
    <row collapsed="false" customFormat="false" customHeight="true" hidden="false" ht="16.2" outlineLevel="0" r="1174">
      <c r="A1174" s="80"/>
      <c r="B1174" s="89"/>
      <c r="C1174" s="85"/>
      <c r="D1174" s="85"/>
      <c r="E1174" s="83" t="s">
        <v>1037</v>
      </c>
      <c r="F1174" s="84" t="s">
        <v>1036</v>
      </c>
      <c r="G1174" s="85"/>
      <c r="H1174" s="85"/>
      <c r="I1174" s="85"/>
      <c r="J1174" s="85"/>
      <c r="K1174" s="86"/>
      <c r="L1174" s="86"/>
      <c r="M1174" s="90" t="n">
        <f aca="false">1904+1788</f>
        <v>3692</v>
      </c>
      <c r="N1174" s="91" t="n">
        <f aca="false">2877+2495</f>
        <v>5372</v>
      </c>
      <c r="O1174" s="90" t="n">
        <v>604</v>
      </c>
      <c r="P1174" s="90" t="s">
        <v>1005</v>
      </c>
      <c r="Q1174" s="81" t="n">
        <v>583</v>
      </c>
      <c r="R1174" s="81"/>
      <c r="S1174" s="81" t="n">
        <v>498</v>
      </c>
      <c r="T1174" s="81" t="s">
        <v>1005</v>
      </c>
      <c r="U1174" s="81" t="n">
        <v>560</v>
      </c>
      <c r="V1174" s="81" t="s">
        <v>1005</v>
      </c>
      <c r="W1174" s="81" t="n">
        <v>340</v>
      </c>
      <c r="X1174" s="81" t="s">
        <v>1005</v>
      </c>
      <c r="Y1174" s="81" t="n">
        <v>274</v>
      </c>
      <c r="Z1174" s="81" t="s">
        <v>1005</v>
      </c>
      <c r="AA1174" s="81" t="n">
        <v>215</v>
      </c>
      <c r="AB1174" s="81" t="s">
        <v>1005</v>
      </c>
      <c r="AC1174" s="81" t="n">
        <v>426</v>
      </c>
      <c r="AD1174" s="81" t="s">
        <v>1005</v>
      </c>
      <c r="AE1174" s="90" t="n">
        <v>426</v>
      </c>
      <c r="AF1174" s="81" t="s">
        <v>1005</v>
      </c>
      <c r="AG1174" s="81" t="n">
        <f aca="false">264+222</f>
        <v>486</v>
      </c>
      <c r="AH1174" s="81" t="s">
        <v>1005</v>
      </c>
      <c r="AI1174" s="81" t="n">
        <f aca="false">412+294</f>
        <v>706</v>
      </c>
      <c r="AJ1174" s="81" t="s">
        <v>1005</v>
      </c>
      <c r="AK1174" s="81" t="n">
        <f aca="false">462+290</f>
        <v>752</v>
      </c>
      <c r="AL1174" s="81" t="s">
        <v>1005</v>
      </c>
      <c r="AM1174" s="81" t="n">
        <f aca="false">O1174+Q1174+S1174+U1174+W1174+Y1174+AA1174+AC1174+AE1174+AG1174+AI1174+AK1174</f>
        <v>5870</v>
      </c>
    </row>
    <row collapsed="false" customFormat="false" customHeight="true" hidden="false" ht="16.2" outlineLevel="0" r="1175">
      <c r="A1175" s="80" t="n">
        <v>601</v>
      </c>
      <c r="B1175" s="81" t="s">
        <v>830</v>
      </c>
      <c r="C1175" s="82" t="s">
        <v>1033</v>
      </c>
      <c r="D1175" s="82" t="s">
        <v>1034</v>
      </c>
      <c r="E1175" s="83" t="s">
        <v>1035</v>
      </c>
      <c r="F1175" s="84" t="s">
        <v>1036</v>
      </c>
      <c r="G1175" s="85"/>
      <c r="H1175" s="85"/>
      <c r="I1175" s="85"/>
      <c r="J1175" s="85"/>
      <c r="K1175" s="86" t="s">
        <v>53</v>
      </c>
      <c r="L1175" s="86" t="s">
        <v>53</v>
      </c>
      <c r="M1175" s="90"/>
      <c r="N1175" s="90"/>
      <c r="O1175" s="90"/>
      <c r="P1175" s="90"/>
      <c r="Q1175" s="81"/>
      <c r="R1175" s="81"/>
      <c r="S1175" s="81"/>
      <c r="T1175" s="81"/>
      <c r="U1175" s="81"/>
      <c r="V1175" s="81"/>
      <c r="W1175" s="81"/>
      <c r="X1175" s="81"/>
      <c r="Y1175" s="81"/>
      <c r="Z1175" s="81"/>
      <c r="AA1175" s="81"/>
      <c r="AB1175" s="81"/>
      <c r="AC1175" s="81"/>
      <c r="AD1175" s="81"/>
      <c r="AE1175" s="90"/>
      <c r="AF1175" s="81"/>
      <c r="AG1175" s="81"/>
      <c r="AH1175" s="81"/>
      <c r="AI1175" s="81"/>
      <c r="AJ1175" s="81"/>
      <c r="AK1175" s="81"/>
      <c r="AL1175" s="81"/>
      <c r="AM1175" s="81" t="n">
        <f aca="false">O1175+Q1175+S1175+U1175+W1175+Y1175+AA1175+AC1175+AE1175+AG1175+AI1175+AK1175</f>
        <v>0</v>
      </c>
    </row>
    <row collapsed="false" customFormat="false" customHeight="true" hidden="false" ht="16.2" outlineLevel="0" r="1176">
      <c r="A1176" s="80"/>
      <c r="B1176" s="89"/>
      <c r="C1176" s="85"/>
      <c r="D1176" s="85"/>
      <c r="E1176" s="83" t="s">
        <v>1037</v>
      </c>
      <c r="F1176" s="84" t="s">
        <v>1036</v>
      </c>
      <c r="G1176" s="85"/>
      <c r="H1176" s="85"/>
      <c r="I1176" s="85"/>
      <c r="J1176" s="85"/>
      <c r="K1176" s="86"/>
      <c r="L1176" s="86"/>
      <c r="M1176" s="90" t="n">
        <f aca="false">4292</f>
        <v>4292</v>
      </c>
      <c r="N1176" s="91" t="n">
        <f aca="false">9263+4154</f>
        <v>13417</v>
      </c>
      <c r="O1176" s="90" t="n">
        <v>936</v>
      </c>
      <c r="P1176" s="90" t="s">
        <v>1005</v>
      </c>
      <c r="Q1176" s="81" t="n">
        <v>779</v>
      </c>
      <c r="R1176" s="81"/>
      <c r="S1176" s="81" t="n">
        <v>670</v>
      </c>
      <c r="T1176" s="81" t="s">
        <v>1005</v>
      </c>
      <c r="U1176" s="81" t="n">
        <v>703</v>
      </c>
      <c r="V1176" s="81" t="s">
        <v>1005</v>
      </c>
      <c r="W1176" s="81" t="n">
        <v>385</v>
      </c>
      <c r="X1176" s="81" t="s">
        <v>1005</v>
      </c>
      <c r="Y1176" s="81" t="n">
        <v>330</v>
      </c>
      <c r="Z1176" s="81" t="s">
        <v>1005</v>
      </c>
      <c r="AA1176" s="81" t="n">
        <v>336</v>
      </c>
      <c r="AB1176" s="81" t="s">
        <v>1005</v>
      </c>
      <c r="AC1176" s="81" t="n">
        <v>450</v>
      </c>
      <c r="AD1176" s="81" t="s">
        <v>1005</v>
      </c>
      <c r="AE1176" s="90" t="n">
        <v>450</v>
      </c>
      <c r="AF1176" s="81" t="s">
        <v>1005</v>
      </c>
      <c r="AG1176" s="81" t="n">
        <f aca="false">261+300</f>
        <v>561</v>
      </c>
      <c r="AH1176" s="81" t="s">
        <v>1005</v>
      </c>
      <c r="AI1176" s="81" t="n">
        <f aca="false">494+434</f>
        <v>928</v>
      </c>
      <c r="AJ1176" s="81" t="s">
        <v>1005</v>
      </c>
      <c r="AK1176" s="81" t="n">
        <f aca="false">539+415</f>
        <v>954</v>
      </c>
      <c r="AL1176" s="81" t="s">
        <v>1005</v>
      </c>
      <c r="AM1176" s="81" t="n">
        <f aca="false">O1176+Q1176+S1176+U1176+W1176+Y1176+AA1176+AC1176+AE1176+AG1176+AI1176+AK1176</f>
        <v>7482</v>
      </c>
    </row>
    <row collapsed="false" customFormat="false" customHeight="true" hidden="false" ht="16.2" outlineLevel="0" r="1177">
      <c r="A1177" s="80" t="n">
        <v>602</v>
      </c>
      <c r="B1177" s="81" t="s">
        <v>831</v>
      </c>
      <c r="C1177" s="82" t="s">
        <v>1033</v>
      </c>
      <c r="D1177" s="82" t="s">
        <v>1034</v>
      </c>
      <c r="E1177" s="83" t="s">
        <v>1035</v>
      </c>
      <c r="F1177" s="84" t="s">
        <v>1036</v>
      </c>
      <c r="G1177" s="85"/>
      <c r="H1177" s="85"/>
      <c r="I1177" s="85"/>
      <c r="J1177" s="85"/>
      <c r="K1177" s="86" t="s">
        <v>53</v>
      </c>
      <c r="L1177" s="86" t="s">
        <v>53</v>
      </c>
      <c r="M1177" s="90"/>
      <c r="N1177" s="90"/>
      <c r="O1177" s="90"/>
      <c r="P1177" s="90"/>
      <c r="Q1177" s="81"/>
      <c r="R1177" s="81"/>
      <c r="S1177" s="81"/>
      <c r="T1177" s="81"/>
      <c r="U1177" s="81"/>
      <c r="V1177" s="81"/>
      <c r="W1177" s="81"/>
      <c r="X1177" s="81"/>
      <c r="Y1177" s="81"/>
      <c r="Z1177" s="81"/>
      <c r="AA1177" s="81"/>
      <c r="AB1177" s="81"/>
      <c r="AC1177" s="81"/>
      <c r="AD1177" s="81"/>
      <c r="AE1177" s="90"/>
      <c r="AF1177" s="81"/>
      <c r="AG1177" s="81"/>
      <c r="AH1177" s="81"/>
      <c r="AI1177" s="81"/>
      <c r="AJ1177" s="81"/>
      <c r="AK1177" s="81"/>
      <c r="AL1177" s="81"/>
      <c r="AM1177" s="81" t="n">
        <f aca="false">O1177+Q1177+S1177+U1177+W1177+Y1177+AA1177+AC1177+AE1177+AG1177+AI1177+AK1177</f>
        <v>0</v>
      </c>
    </row>
    <row collapsed="false" customFormat="false" customHeight="true" hidden="false" ht="16.2" outlineLevel="0" r="1178">
      <c r="A1178" s="80"/>
      <c r="B1178" s="89"/>
      <c r="C1178" s="85"/>
      <c r="D1178" s="85"/>
      <c r="E1178" s="83" t="s">
        <v>1037</v>
      </c>
      <c r="F1178" s="84" t="s">
        <v>1036</v>
      </c>
      <c r="G1178" s="85"/>
      <c r="H1178" s="85"/>
      <c r="I1178" s="85"/>
      <c r="J1178" s="85"/>
      <c r="K1178" s="86"/>
      <c r="L1178" s="86"/>
      <c r="M1178" s="90" t="n">
        <f aca="false">2689+2515</f>
        <v>5204</v>
      </c>
      <c r="N1178" s="91" t="n">
        <f aca="false">3384+3492</f>
        <v>6876</v>
      </c>
      <c r="O1178" s="90" t="n">
        <v>818</v>
      </c>
      <c r="P1178" s="90" t="s">
        <v>1005</v>
      </c>
      <c r="Q1178" s="81" t="n">
        <v>687</v>
      </c>
      <c r="R1178" s="81"/>
      <c r="S1178" s="81" t="n">
        <v>647</v>
      </c>
      <c r="T1178" s="81" t="s">
        <v>1005</v>
      </c>
      <c r="U1178" s="81" t="n">
        <v>634</v>
      </c>
      <c r="V1178" s="81" t="s">
        <v>1005</v>
      </c>
      <c r="W1178" s="81" t="n">
        <v>366</v>
      </c>
      <c r="X1178" s="81" t="s">
        <v>1005</v>
      </c>
      <c r="Y1178" s="81" t="n">
        <v>364</v>
      </c>
      <c r="Z1178" s="81" t="s">
        <v>1005</v>
      </c>
      <c r="AA1178" s="81" t="n">
        <v>380</v>
      </c>
      <c r="AB1178" s="81" t="s">
        <v>1005</v>
      </c>
      <c r="AC1178" s="81" t="n">
        <v>498</v>
      </c>
      <c r="AD1178" s="81" t="s">
        <v>1005</v>
      </c>
      <c r="AE1178" s="90" t="n">
        <v>498</v>
      </c>
      <c r="AF1178" s="81" t="s">
        <v>1005</v>
      </c>
      <c r="AG1178" s="81" t="n">
        <f aca="false">310+310</f>
        <v>620</v>
      </c>
      <c r="AH1178" s="81" t="s">
        <v>1005</v>
      </c>
      <c r="AI1178" s="81" t="n">
        <f aca="false">440+355</f>
        <v>795</v>
      </c>
      <c r="AJ1178" s="81" t="s">
        <v>1005</v>
      </c>
      <c r="AK1178" s="81" t="n">
        <f aca="false">572+417</f>
        <v>989</v>
      </c>
      <c r="AL1178" s="81" t="s">
        <v>1005</v>
      </c>
      <c r="AM1178" s="81" t="n">
        <f aca="false">O1178+Q1178+S1178+U1178+W1178+Y1178+AA1178+AC1178+AE1178+AG1178+AI1178+AK1178</f>
        <v>7296</v>
      </c>
    </row>
    <row collapsed="false" customFormat="false" customHeight="true" hidden="false" ht="16.2" outlineLevel="0" r="1179">
      <c r="A1179" s="80" t="n">
        <v>603</v>
      </c>
      <c r="B1179" s="81" t="s">
        <v>832</v>
      </c>
      <c r="C1179" s="82" t="s">
        <v>1033</v>
      </c>
      <c r="D1179" s="82" t="s">
        <v>1034</v>
      </c>
      <c r="E1179" s="83" t="s">
        <v>1035</v>
      </c>
      <c r="F1179" s="84" t="s">
        <v>1036</v>
      </c>
      <c r="G1179" s="85"/>
      <c r="H1179" s="85"/>
      <c r="I1179" s="85"/>
      <c r="J1179" s="85"/>
      <c r="K1179" s="86" t="s">
        <v>53</v>
      </c>
      <c r="L1179" s="86" t="s">
        <v>53</v>
      </c>
      <c r="M1179" s="90"/>
      <c r="N1179" s="90"/>
      <c r="O1179" s="90"/>
      <c r="P1179" s="90"/>
      <c r="Q1179" s="81"/>
      <c r="R1179" s="81"/>
      <c r="S1179" s="81"/>
      <c r="T1179" s="81"/>
      <c r="U1179" s="81"/>
      <c r="V1179" s="81"/>
      <c r="W1179" s="81"/>
      <c r="X1179" s="81"/>
      <c r="Y1179" s="81"/>
      <c r="Z1179" s="81"/>
      <c r="AA1179" s="81"/>
      <c r="AB1179" s="81"/>
      <c r="AC1179" s="81"/>
      <c r="AD1179" s="81"/>
      <c r="AE1179" s="90"/>
      <c r="AF1179" s="81"/>
      <c r="AG1179" s="81"/>
      <c r="AH1179" s="81"/>
      <c r="AI1179" s="81"/>
      <c r="AJ1179" s="81"/>
      <c r="AK1179" s="81"/>
      <c r="AL1179" s="81"/>
      <c r="AM1179" s="81" t="n">
        <f aca="false">O1179+Q1179+S1179+U1179+W1179+Y1179+AA1179+AC1179+AE1179+AG1179+AI1179+AK1179</f>
        <v>0</v>
      </c>
    </row>
    <row collapsed="false" customFormat="false" customHeight="true" hidden="false" ht="16.2" outlineLevel="0" r="1180">
      <c r="A1180" s="80"/>
      <c r="B1180" s="89"/>
      <c r="C1180" s="85"/>
      <c r="D1180" s="85"/>
      <c r="E1180" s="83" t="s">
        <v>1037</v>
      </c>
      <c r="F1180" s="84" t="s">
        <v>1036</v>
      </c>
      <c r="G1180" s="85"/>
      <c r="H1180" s="85"/>
      <c r="I1180" s="85"/>
      <c r="J1180" s="85"/>
      <c r="K1180" s="86"/>
      <c r="L1180" s="86"/>
      <c r="M1180" s="90" t="n">
        <f aca="false">1782+2131</f>
        <v>3913</v>
      </c>
      <c r="N1180" s="91" t="n">
        <f aca="false">3844+2525</f>
        <v>6369</v>
      </c>
      <c r="O1180" s="90" t="n">
        <v>613</v>
      </c>
      <c r="P1180" s="90" t="s">
        <v>1005</v>
      </c>
      <c r="Q1180" s="81" t="n">
        <v>628</v>
      </c>
      <c r="R1180" s="81"/>
      <c r="S1180" s="81" t="n">
        <v>522</v>
      </c>
      <c r="T1180" s="81" t="s">
        <v>1005</v>
      </c>
      <c r="U1180" s="81" t="n">
        <v>529</v>
      </c>
      <c r="V1180" s="81" t="s">
        <v>1005</v>
      </c>
      <c r="W1180" s="81" t="n">
        <v>444</v>
      </c>
      <c r="X1180" s="81" t="s">
        <v>1005</v>
      </c>
      <c r="Y1180" s="81" t="n">
        <v>387</v>
      </c>
      <c r="Z1180" s="81" t="s">
        <v>1005</v>
      </c>
      <c r="AA1180" s="81" t="n">
        <v>307</v>
      </c>
      <c r="AB1180" s="81" t="s">
        <v>1005</v>
      </c>
      <c r="AC1180" s="81" t="n">
        <v>529</v>
      </c>
      <c r="AD1180" s="81" t="s">
        <v>1005</v>
      </c>
      <c r="AE1180" s="90" t="n">
        <v>529</v>
      </c>
      <c r="AF1180" s="81" t="s">
        <v>1005</v>
      </c>
      <c r="AG1180" s="81" t="n">
        <f aca="false">223+167</f>
        <v>390</v>
      </c>
      <c r="AH1180" s="81" t="s">
        <v>1005</v>
      </c>
      <c r="AI1180" s="81" t="n">
        <f aca="false">381+259</f>
        <v>640</v>
      </c>
      <c r="AJ1180" s="81" t="s">
        <v>1005</v>
      </c>
      <c r="AK1180" s="81" t="n">
        <f aca="false">406+250</f>
        <v>656</v>
      </c>
      <c r="AL1180" s="81" t="s">
        <v>1005</v>
      </c>
      <c r="AM1180" s="81" t="n">
        <f aca="false">O1180+Q1180+S1180+U1180+W1180+Y1180+AA1180+AC1180+AE1180+AG1180+AI1180+AK1180</f>
        <v>6174</v>
      </c>
    </row>
    <row collapsed="false" customFormat="false" customHeight="true" hidden="false" ht="16.2" outlineLevel="0" r="1181">
      <c r="A1181" s="80" t="n">
        <v>604</v>
      </c>
      <c r="B1181" s="81" t="s">
        <v>833</v>
      </c>
      <c r="C1181" s="82" t="s">
        <v>1033</v>
      </c>
      <c r="D1181" s="82" t="s">
        <v>1034</v>
      </c>
      <c r="E1181" s="83" t="s">
        <v>1035</v>
      </c>
      <c r="F1181" s="84" t="s">
        <v>1036</v>
      </c>
      <c r="G1181" s="85"/>
      <c r="H1181" s="85"/>
      <c r="I1181" s="85"/>
      <c r="J1181" s="85"/>
      <c r="K1181" s="86" t="s">
        <v>53</v>
      </c>
      <c r="L1181" s="86" t="s">
        <v>53</v>
      </c>
      <c r="M1181" s="90"/>
      <c r="N1181" s="90"/>
      <c r="O1181" s="90"/>
      <c r="P1181" s="90"/>
      <c r="Q1181" s="81"/>
      <c r="R1181" s="81"/>
      <c r="S1181" s="81"/>
      <c r="T1181" s="81"/>
      <c r="U1181" s="81"/>
      <c r="V1181" s="81"/>
      <c r="W1181" s="81"/>
      <c r="X1181" s="81"/>
      <c r="Y1181" s="81"/>
      <c r="Z1181" s="81"/>
      <c r="AA1181" s="81"/>
      <c r="AB1181" s="81"/>
      <c r="AC1181" s="81"/>
      <c r="AD1181" s="81"/>
      <c r="AE1181" s="90"/>
      <c r="AF1181" s="81"/>
      <c r="AG1181" s="81"/>
      <c r="AH1181" s="81"/>
      <c r="AI1181" s="81"/>
      <c r="AJ1181" s="81"/>
      <c r="AK1181" s="81"/>
      <c r="AL1181" s="81"/>
      <c r="AM1181" s="81" t="n">
        <f aca="false">O1181+Q1181+S1181+U1181+W1181+Y1181+AA1181+AC1181+AE1181+AG1181+AI1181+AK1181</f>
        <v>0</v>
      </c>
    </row>
    <row collapsed="false" customFormat="false" customHeight="true" hidden="false" ht="16.2" outlineLevel="0" r="1182">
      <c r="A1182" s="80"/>
      <c r="B1182" s="89"/>
      <c r="C1182" s="85"/>
      <c r="D1182" s="85"/>
      <c r="E1182" s="83" t="s">
        <v>1037</v>
      </c>
      <c r="F1182" s="84" t="s">
        <v>1036</v>
      </c>
      <c r="G1182" s="85"/>
      <c r="H1182" s="85"/>
      <c r="I1182" s="85"/>
      <c r="J1182" s="85"/>
      <c r="K1182" s="86"/>
      <c r="L1182" s="86"/>
      <c r="M1182" s="90" t="n">
        <f aca="false">736+594</f>
        <v>1330</v>
      </c>
      <c r="N1182" s="91" t="n">
        <f aca="false">1045+668</f>
        <v>1713</v>
      </c>
      <c r="O1182" s="90" t="n">
        <v>607</v>
      </c>
      <c r="P1182" s="90" t="s">
        <v>1005</v>
      </c>
      <c r="Q1182" s="81" t="n">
        <v>416</v>
      </c>
      <c r="R1182" s="81"/>
      <c r="S1182" s="81" t="n">
        <v>404</v>
      </c>
      <c r="T1182" s="81" t="s">
        <v>1005</v>
      </c>
      <c r="U1182" s="81" t="n">
        <v>334</v>
      </c>
      <c r="V1182" s="81" t="s">
        <v>1005</v>
      </c>
      <c r="W1182" s="81" t="n">
        <v>253</v>
      </c>
      <c r="X1182" s="81" t="s">
        <v>1005</v>
      </c>
      <c r="Y1182" s="81" t="n">
        <v>194</v>
      </c>
      <c r="Z1182" s="81" t="s">
        <v>1005</v>
      </c>
      <c r="AA1182" s="81" t="n">
        <v>415</v>
      </c>
      <c r="AB1182" s="81" t="s">
        <v>1005</v>
      </c>
      <c r="AC1182" s="81" t="n">
        <v>352</v>
      </c>
      <c r="AD1182" s="81" t="s">
        <v>1005</v>
      </c>
      <c r="AE1182" s="90" t="n">
        <v>352</v>
      </c>
      <c r="AF1182" s="81" t="s">
        <v>1005</v>
      </c>
      <c r="AG1182" s="81" t="n">
        <f aca="false">183+186</f>
        <v>369</v>
      </c>
      <c r="AH1182" s="81" t="s">
        <v>1005</v>
      </c>
      <c r="AI1182" s="81" t="n">
        <f aca="false">285+222</f>
        <v>507</v>
      </c>
      <c r="AJ1182" s="81" t="s">
        <v>1005</v>
      </c>
      <c r="AK1182" s="81" t="n">
        <f aca="false">244+167</f>
        <v>411</v>
      </c>
      <c r="AL1182" s="81" t="s">
        <v>1005</v>
      </c>
      <c r="AM1182" s="81" t="n">
        <f aca="false">O1182+Q1182+S1182+U1182+W1182+Y1182+AA1182+AC1182+AE1182+AG1182+AI1182+AK1182</f>
        <v>4614</v>
      </c>
    </row>
    <row collapsed="false" customFormat="false" customHeight="true" hidden="false" ht="16.2" outlineLevel="0" r="1183">
      <c r="A1183" s="80" t="n">
        <v>605</v>
      </c>
      <c r="B1183" s="81" t="s">
        <v>834</v>
      </c>
      <c r="C1183" s="82" t="s">
        <v>1033</v>
      </c>
      <c r="D1183" s="82" t="s">
        <v>1034</v>
      </c>
      <c r="E1183" s="83" t="s">
        <v>1035</v>
      </c>
      <c r="F1183" s="84" t="s">
        <v>1036</v>
      </c>
      <c r="G1183" s="85"/>
      <c r="H1183" s="85"/>
      <c r="I1183" s="85"/>
      <c r="J1183" s="85"/>
      <c r="K1183" s="86" t="s">
        <v>53</v>
      </c>
      <c r="L1183" s="86" t="s">
        <v>53</v>
      </c>
      <c r="M1183" s="90"/>
      <c r="N1183" s="90"/>
      <c r="O1183" s="90"/>
      <c r="P1183" s="90"/>
      <c r="Q1183" s="81"/>
      <c r="R1183" s="81"/>
      <c r="S1183" s="81"/>
      <c r="T1183" s="81"/>
      <c r="U1183" s="81"/>
      <c r="V1183" s="81"/>
      <c r="W1183" s="81"/>
      <c r="X1183" s="81"/>
      <c r="Y1183" s="81"/>
      <c r="Z1183" s="81"/>
      <c r="AA1183" s="81"/>
      <c r="AB1183" s="81"/>
      <c r="AC1183" s="81"/>
      <c r="AD1183" s="81"/>
      <c r="AE1183" s="90"/>
      <c r="AF1183" s="81"/>
      <c r="AG1183" s="81"/>
      <c r="AH1183" s="81"/>
      <c r="AI1183" s="81"/>
      <c r="AJ1183" s="81"/>
      <c r="AK1183" s="81"/>
      <c r="AL1183" s="81"/>
      <c r="AM1183" s="81" t="n">
        <f aca="false">O1183+Q1183+S1183+U1183+W1183+Y1183+AA1183+AC1183+AE1183+AG1183+AI1183+AK1183</f>
        <v>0</v>
      </c>
    </row>
    <row collapsed="false" customFormat="false" customHeight="true" hidden="false" ht="16.2" outlineLevel="0" r="1184">
      <c r="A1184" s="80"/>
      <c r="B1184" s="89"/>
      <c r="C1184" s="85"/>
      <c r="D1184" s="85"/>
      <c r="E1184" s="83" t="s">
        <v>1037</v>
      </c>
      <c r="F1184" s="84" t="s">
        <v>1036</v>
      </c>
      <c r="G1184" s="85"/>
      <c r="H1184" s="85"/>
      <c r="I1184" s="85"/>
      <c r="J1184" s="85"/>
      <c r="K1184" s="86"/>
      <c r="L1184" s="86"/>
      <c r="M1184" s="90" t="n">
        <f aca="false">1156+1141</f>
        <v>2297</v>
      </c>
      <c r="N1184" s="91" t="n">
        <f aca="false">1253+1259</f>
        <v>2512</v>
      </c>
      <c r="O1184" s="90" t="n">
        <v>348</v>
      </c>
      <c r="P1184" s="90" t="s">
        <v>1005</v>
      </c>
      <c r="Q1184" s="81" t="n">
        <v>229</v>
      </c>
      <c r="R1184" s="81"/>
      <c r="S1184" s="81" t="n">
        <v>181</v>
      </c>
      <c r="T1184" s="81" t="s">
        <v>1005</v>
      </c>
      <c r="U1184" s="81" t="n">
        <v>179</v>
      </c>
      <c r="V1184" s="81" t="s">
        <v>1005</v>
      </c>
      <c r="W1184" s="81" t="n">
        <v>149</v>
      </c>
      <c r="X1184" s="81" t="s">
        <v>1005</v>
      </c>
      <c r="Y1184" s="81" t="n">
        <v>182</v>
      </c>
      <c r="Z1184" s="81" t="s">
        <v>1005</v>
      </c>
      <c r="AA1184" s="81" t="n">
        <v>127</v>
      </c>
      <c r="AB1184" s="81" t="s">
        <v>1005</v>
      </c>
      <c r="AC1184" s="81" t="n">
        <v>188</v>
      </c>
      <c r="AD1184" s="81" t="s">
        <v>1005</v>
      </c>
      <c r="AE1184" s="90" t="n">
        <v>188</v>
      </c>
      <c r="AF1184" s="81" t="s">
        <v>1005</v>
      </c>
      <c r="AG1184" s="81" t="n">
        <f aca="false">113+102</f>
        <v>215</v>
      </c>
      <c r="AH1184" s="81" t="s">
        <v>1005</v>
      </c>
      <c r="AI1184" s="81" t="n">
        <f aca="false">165+123</f>
        <v>288</v>
      </c>
      <c r="AJ1184" s="81" t="s">
        <v>1005</v>
      </c>
      <c r="AK1184" s="81" t="n">
        <f aca="false">216+151</f>
        <v>367</v>
      </c>
      <c r="AL1184" s="81" t="s">
        <v>1005</v>
      </c>
      <c r="AM1184" s="81" t="n">
        <f aca="false">O1184+Q1184+S1184+U1184+W1184+Y1184+AA1184+AC1184+AE1184+AG1184+AI1184+AK1184</f>
        <v>2641</v>
      </c>
    </row>
    <row collapsed="false" customFormat="false" customHeight="true" hidden="false" ht="16.2" outlineLevel="0" r="1185">
      <c r="A1185" s="80" t="n">
        <v>606</v>
      </c>
      <c r="B1185" s="81" t="s">
        <v>835</v>
      </c>
      <c r="C1185" s="82" t="s">
        <v>1033</v>
      </c>
      <c r="D1185" s="82" t="s">
        <v>1034</v>
      </c>
      <c r="E1185" s="83" t="s">
        <v>1035</v>
      </c>
      <c r="F1185" s="84" t="s">
        <v>1036</v>
      </c>
      <c r="G1185" s="85"/>
      <c r="H1185" s="85"/>
      <c r="I1185" s="85"/>
      <c r="J1185" s="85"/>
      <c r="K1185" s="86" t="s">
        <v>53</v>
      </c>
      <c r="L1185" s="86" t="s">
        <v>53</v>
      </c>
      <c r="M1185" s="90"/>
      <c r="N1185" s="90"/>
      <c r="O1185" s="90"/>
      <c r="P1185" s="90"/>
      <c r="Q1185" s="81"/>
      <c r="R1185" s="81"/>
      <c r="S1185" s="81"/>
      <c r="T1185" s="81"/>
      <c r="U1185" s="81"/>
      <c r="V1185" s="81"/>
      <c r="W1185" s="81"/>
      <c r="X1185" s="81"/>
      <c r="Y1185" s="81"/>
      <c r="Z1185" s="81"/>
      <c r="AA1185" s="81"/>
      <c r="AB1185" s="81"/>
      <c r="AC1185" s="81"/>
      <c r="AD1185" s="81"/>
      <c r="AE1185" s="90"/>
      <c r="AF1185" s="81"/>
      <c r="AG1185" s="81"/>
      <c r="AH1185" s="81"/>
      <c r="AI1185" s="81"/>
      <c r="AJ1185" s="81"/>
      <c r="AK1185" s="81"/>
      <c r="AL1185" s="81"/>
      <c r="AM1185" s="81" t="n">
        <f aca="false">O1185+Q1185+S1185+U1185+W1185+Y1185+AA1185+AC1185+AE1185+AG1185+AI1185+AK1185</f>
        <v>0</v>
      </c>
    </row>
    <row collapsed="false" customFormat="false" customHeight="true" hidden="false" ht="16.2" outlineLevel="0" r="1186">
      <c r="A1186" s="80"/>
      <c r="B1186" s="89"/>
      <c r="C1186" s="85"/>
      <c r="D1186" s="85"/>
      <c r="E1186" s="83" t="s">
        <v>1037</v>
      </c>
      <c r="F1186" s="84" t="s">
        <v>1036</v>
      </c>
      <c r="G1186" s="85"/>
      <c r="H1186" s="85"/>
      <c r="I1186" s="85"/>
      <c r="J1186" s="85"/>
      <c r="K1186" s="86"/>
      <c r="L1186" s="86"/>
      <c r="M1186" s="90" t="n">
        <f aca="false">2074+1550+1798+1212</f>
        <v>6634</v>
      </c>
      <c r="N1186" s="91" t="n">
        <f aca="false">1827+1494+1923+1466</f>
        <v>6710</v>
      </c>
      <c r="O1186" s="90" t="n">
        <v>756</v>
      </c>
      <c r="P1186" s="90" t="s">
        <v>1005</v>
      </c>
      <c r="Q1186" s="81" t="n">
        <v>564</v>
      </c>
      <c r="R1186" s="81"/>
      <c r="S1186" s="81" t="n">
        <v>469</v>
      </c>
      <c r="T1186" s="81" t="s">
        <v>1005</v>
      </c>
      <c r="U1186" s="81" t="n">
        <v>562</v>
      </c>
      <c r="V1186" s="81" t="s">
        <v>1005</v>
      </c>
      <c r="W1186" s="81" t="n">
        <v>268</v>
      </c>
      <c r="X1186" s="81" t="s">
        <v>1005</v>
      </c>
      <c r="Y1186" s="81" t="n">
        <v>289</v>
      </c>
      <c r="Z1186" s="81" t="s">
        <v>1005</v>
      </c>
      <c r="AA1186" s="81" t="n">
        <v>212</v>
      </c>
      <c r="AB1186" s="81" t="s">
        <v>1005</v>
      </c>
      <c r="AC1186" s="81" t="n">
        <v>424</v>
      </c>
      <c r="AD1186" s="81" t="s">
        <v>1005</v>
      </c>
      <c r="AE1186" s="90" t="n">
        <v>424</v>
      </c>
      <c r="AF1186" s="81" t="s">
        <v>1005</v>
      </c>
      <c r="AG1186" s="81" t="n">
        <f aca="false">130+108+151+138</f>
        <v>527</v>
      </c>
      <c r="AH1186" s="81" t="s">
        <v>1005</v>
      </c>
      <c r="AI1186" s="81" t="n">
        <f aca="false">194+142+245+178</f>
        <v>759</v>
      </c>
      <c r="AJ1186" s="81" t="s">
        <v>1005</v>
      </c>
      <c r="AK1186" s="81" t="n">
        <f aca="false">150+107+280+171</f>
        <v>708</v>
      </c>
      <c r="AL1186" s="81" t="s">
        <v>1005</v>
      </c>
      <c r="AM1186" s="81" t="n">
        <f aca="false">O1186+Q1186+S1186+U1186+W1186+Y1186+AA1186+AC1186+AE1186+AG1186+AI1186+AK1186</f>
        <v>5962</v>
      </c>
    </row>
    <row collapsed="false" customFormat="false" customHeight="true" hidden="false" ht="16.2" outlineLevel="0" r="1187">
      <c r="A1187" s="80" t="n">
        <v>607</v>
      </c>
      <c r="B1187" s="81" t="s">
        <v>836</v>
      </c>
      <c r="C1187" s="82" t="s">
        <v>1033</v>
      </c>
      <c r="D1187" s="82" t="s">
        <v>1034</v>
      </c>
      <c r="E1187" s="83" t="s">
        <v>1035</v>
      </c>
      <c r="F1187" s="84" t="s">
        <v>1036</v>
      </c>
      <c r="G1187" s="85"/>
      <c r="H1187" s="85"/>
      <c r="I1187" s="85"/>
      <c r="J1187" s="85"/>
      <c r="K1187" s="86" t="s">
        <v>53</v>
      </c>
      <c r="L1187" s="86" t="s">
        <v>53</v>
      </c>
      <c r="M1187" s="90"/>
      <c r="N1187" s="90"/>
      <c r="O1187" s="90"/>
      <c r="P1187" s="90"/>
      <c r="Q1187" s="81"/>
      <c r="R1187" s="81"/>
      <c r="S1187" s="81"/>
      <c r="T1187" s="81"/>
      <c r="U1187" s="81"/>
      <c r="V1187" s="81"/>
      <c r="W1187" s="81"/>
      <c r="X1187" s="81"/>
      <c r="Y1187" s="81"/>
      <c r="Z1187" s="81"/>
      <c r="AA1187" s="81"/>
      <c r="AB1187" s="81"/>
      <c r="AC1187" s="81"/>
      <c r="AD1187" s="81"/>
      <c r="AE1187" s="90"/>
      <c r="AF1187" s="81"/>
      <c r="AG1187" s="81"/>
      <c r="AH1187" s="81"/>
      <c r="AI1187" s="81"/>
      <c r="AJ1187" s="81"/>
      <c r="AK1187" s="81"/>
      <c r="AL1187" s="81"/>
      <c r="AM1187" s="81" t="n">
        <f aca="false">O1187+Q1187+S1187+U1187+W1187+Y1187+AA1187+AC1187+AE1187+AG1187+AI1187+AK1187</f>
        <v>0</v>
      </c>
    </row>
    <row collapsed="false" customFormat="false" customHeight="true" hidden="false" ht="16.2" outlineLevel="0" r="1188">
      <c r="A1188" s="80"/>
      <c r="B1188" s="89"/>
      <c r="C1188" s="85"/>
      <c r="D1188" s="85"/>
      <c r="E1188" s="83" t="s">
        <v>1037</v>
      </c>
      <c r="F1188" s="84" t="s">
        <v>1036</v>
      </c>
      <c r="G1188" s="85"/>
      <c r="H1188" s="85"/>
      <c r="I1188" s="85"/>
      <c r="J1188" s="85"/>
      <c r="K1188" s="86"/>
      <c r="L1188" s="86"/>
      <c r="M1188" s="90" t="n">
        <f aca="false">2752+2225</f>
        <v>4977</v>
      </c>
      <c r="N1188" s="91" t="n">
        <f aca="false">2283+1881</f>
        <v>4164</v>
      </c>
      <c r="O1188" s="90" t="n">
        <v>551</v>
      </c>
      <c r="P1188" s="90" t="s">
        <v>1005</v>
      </c>
      <c r="Q1188" s="81" t="n">
        <v>463</v>
      </c>
      <c r="R1188" s="81"/>
      <c r="S1188" s="81" t="n">
        <v>337</v>
      </c>
      <c r="T1188" s="81" t="s">
        <v>1005</v>
      </c>
      <c r="U1188" s="81" t="n">
        <v>326</v>
      </c>
      <c r="V1188" s="81" t="s">
        <v>1005</v>
      </c>
      <c r="W1188" s="81" t="n">
        <v>231</v>
      </c>
      <c r="X1188" s="81" t="s">
        <v>1005</v>
      </c>
      <c r="Y1188" s="81" t="n">
        <v>189</v>
      </c>
      <c r="Z1188" s="81" t="s">
        <v>1005</v>
      </c>
      <c r="AA1188" s="81" t="n">
        <v>100</v>
      </c>
      <c r="AB1188" s="81" t="s">
        <v>1005</v>
      </c>
      <c r="AC1188" s="81" t="n">
        <v>166</v>
      </c>
      <c r="AD1188" s="81" t="s">
        <v>1005</v>
      </c>
      <c r="AE1188" s="90" t="n">
        <v>166</v>
      </c>
      <c r="AF1188" s="81" t="s">
        <v>1005</v>
      </c>
      <c r="AG1188" s="81" t="n">
        <f aca="false">161+148</f>
        <v>309</v>
      </c>
      <c r="AH1188" s="81" t="s">
        <v>1005</v>
      </c>
      <c r="AI1188" s="81" t="n">
        <f aca="false">264+202</f>
        <v>466</v>
      </c>
      <c r="AJ1188" s="81" t="s">
        <v>1005</v>
      </c>
      <c r="AK1188" s="81" t="n">
        <f aca="false">309+207</f>
        <v>516</v>
      </c>
      <c r="AL1188" s="81" t="s">
        <v>1005</v>
      </c>
      <c r="AM1188" s="81" t="n">
        <f aca="false">O1188+Q1188+S1188+U1188+W1188+Y1188+AA1188+AC1188+AE1188+AG1188+AI1188+AK1188</f>
        <v>3820</v>
      </c>
    </row>
    <row collapsed="false" customFormat="false" customHeight="true" hidden="false" ht="16.2" outlineLevel="0" r="1189">
      <c r="A1189" s="80" t="n">
        <v>608</v>
      </c>
      <c r="B1189" s="81" t="s">
        <v>837</v>
      </c>
      <c r="C1189" s="82" t="s">
        <v>1033</v>
      </c>
      <c r="D1189" s="82" t="s">
        <v>1034</v>
      </c>
      <c r="E1189" s="83" t="s">
        <v>1035</v>
      </c>
      <c r="F1189" s="84" t="s">
        <v>1036</v>
      </c>
      <c r="G1189" s="85"/>
      <c r="H1189" s="85"/>
      <c r="I1189" s="85"/>
      <c r="J1189" s="85"/>
      <c r="K1189" s="86" t="s">
        <v>53</v>
      </c>
      <c r="L1189" s="86" t="s">
        <v>53</v>
      </c>
      <c r="M1189" s="90"/>
      <c r="N1189" s="90"/>
      <c r="O1189" s="90"/>
      <c r="P1189" s="90"/>
      <c r="Q1189" s="81"/>
      <c r="R1189" s="81"/>
      <c r="S1189" s="81"/>
      <c r="T1189" s="81"/>
      <c r="U1189" s="81"/>
      <c r="V1189" s="81"/>
      <c r="W1189" s="81"/>
      <c r="X1189" s="81"/>
      <c r="Y1189" s="81"/>
      <c r="Z1189" s="81"/>
      <c r="AA1189" s="81"/>
      <c r="AB1189" s="81"/>
      <c r="AC1189" s="81"/>
      <c r="AD1189" s="81"/>
      <c r="AE1189" s="90"/>
      <c r="AF1189" s="81"/>
      <c r="AG1189" s="81"/>
      <c r="AH1189" s="81"/>
      <c r="AI1189" s="81"/>
      <c r="AJ1189" s="81"/>
      <c r="AK1189" s="81"/>
      <c r="AL1189" s="81"/>
      <c r="AM1189" s="81" t="n">
        <f aca="false">O1189+Q1189+S1189+U1189+W1189+Y1189+AA1189+AC1189+AE1189+AG1189+AI1189+AK1189</f>
        <v>0</v>
      </c>
    </row>
    <row collapsed="false" customFormat="false" customHeight="true" hidden="false" ht="16.2" outlineLevel="0" r="1190">
      <c r="A1190" s="80"/>
      <c r="B1190" s="89"/>
      <c r="C1190" s="85"/>
      <c r="D1190" s="85"/>
      <c r="E1190" s="83" t="s">
        <v>1037</v>
      </c>
      <c r="F1190" s="84" t="s">
        <v>1036</v>
      </c>
      <c r="G1190" s="85"/>
      <c r="H1190" s="85"/>
      <c r="I1190" s="85"/>
      <c r="J1190" s="85"/>
      <c r="K1190" s="86"/>
      <c r="L1190" s="86"/>
      <c r="M1190" s="90" t="n">
        <f aca="false">2752+2225+1203+1382</f>
        <v>7562</v>
      </c>
      <c r="N1190" s="91" t="n">
        <f aca="false">1481+1613+1635+1742</f>
        <v>6471</v>
      </c>
      <c r="O1190" s="90" t="n">
        <v>706</v>
      </c>
      <c r="P1190" s="90" t="s">
        <v>1005</v>
      </c>
      <c r="Q1190" s="81" t="n">
        <v>687</v>
      </c>
      <c r="R1190" s="81"/>
      <c r="S1190" s="81" t="n">
        <v>621</v>
      </c>
      <c r="T1190" s="81" t="s">
        <v>1005</v>
      </c>
      <c r="U1190" s="81" t="n">
        <v>584</v>
      </c>
      <c r="V1190" s="81" t="s">
        <v>1005</v>
      </c>
      <c r="W1190" s="81" t="n">
        <v>426</v>
      </c>
      <c r="X1190" s="81" t="s">
        <v>1005</v>
      </c>
      <c r="Y1190" s="81" t="n">
        <v>325</v>
      </c>
      <c r="Z1190" s="81" t="s">
        <v>1005</v>
      </c>
      <c r="AA1190" s="81" t="n">
        <v>226</v>
      </c>
      <c r="AB1190" s="81" t="s">
        <v>1005</v>
      </c>
      <c r="AC1190" s="81" t="n">
        <v>416</v>
      </c>
      <c r="AD1190" s="81" t="s">
        <v>1005</v>
      </c>
      <c r="AE1190" s="90" t="n">
        <v>416</v>
      </c>
      <c r="AF1190" s="81" t="s">
        <v>1005</v>
      </c>
      <c r="AG1190" s="81" t="n">
        <f aca="false">132+134+156+146</f>
        <v>568</v>
      </c>
      <c r="AH1190" s="81" t="s">
        <v>1005</v>
      </c>
      <c r="AI1190" s="81" t="n">
        <f aca="false">222+197+237+182+103</f>
        <v>941</v>
      </c>
      <c r="AJ1190" s="81" t="s">
        <v>1005</v>
      </c>
      <c r="AK1190" s="81" t="n">
        <f aca="false">280+210+283+184</f>
        <v>957</v>
      </c>
      <c r="AL1190" s="81" t="s">
        <v>1005</v>
      </c>
      <c r="AM1190" s="81" t="n">
        <f aca="false">O1190+Q1190+S1190+U1190+W1190+Y1190+AA1190+AC1190+AE1190+AG1190+AI1190+AK1190</f>
        <v>6873</v>
      </c>
    </row>
    <row collapsed="false" customFormat="false" customHeight="true" hidden="false" ht="16.2" outlineLevel="0" r="1191">
      <c r="A1191" s="80" t="n">
        <v>609</v>
      </c>
      <c r="B1191" s="81" t="s">
        <v>838</v>
      </c>
      <c r="C1191" s="82" t="s">
        <v>1033</v>
      </c>
      <c r="D1191" s="82" t="s">
        <v>1034</v>
      </c>
      <c r="E1191" s="83" t="s">
        <v>1035</v>
      </c>
      <c r="F1191" s="84" t="s">
        <v>1036</v>
      </c>
      <c r="G1191" s="85"/>
      <c r="H1191" s="85"/>
      <c r="I1191" s="85"/>
      <c r="J1191" s="85"/>
      <c r="K1191" s="86" t="s">
        <v>53</v>
      </c>
      <c r="L1191" s="86" t="s">
        <v>53</v>
      </c>
      <c r="M1191" s="90"/>
      <c r="N1191" s="90"/>
      <c r="O1191" s="90"/>
      <c r="P1191" s="90"/>
      <c r="Q1191" s="81"/>
      <c r="R1191" s="81"/>
      <c r="S1191" s="81"/>
      <c r="T1191" s="81"/>
      <c r="U1191" s="81"/>
      <c r="V1191" s="81"/>
      <c r="W1191" s="81"/>
      <c r="X1191" s="81"/>
      <c r="Y1191" s="81"/>
      <c r="Z1191" s="81"/>
      <c r="AA1191" s="81"/>
      <c r="AB1191" s="81"/>
      <c r="AC1191" s="81"/>
      <c r="AD1191" s="81"/>
      <c r="AE1191" s="90"/>
      <c r="AF1191" s="81"/>
      <c r="AG1191" s="81"/>
      <c r="AH1191" s="81"/>
      <c r="AI1191" s="81"/>
      <c r="AJ1191" s="81"/>
      <c r="AK1191" s="81"/>
      <c r="AL1191" s="81"/>
      <c r="AM1191" s="81" t="n">
        <f aca="false">O1191+Q1191+S1191+U1191+W1191+Y1191+AA1191+AC1191+AE1191+AG1191+AI1191+AK1191</f>
        <v>0</v>
      </c>
    </row>
    <row collapsed="false" customFormat="false" customHeight="true" hidden="false" ht="16.2" outlineLevel="0" r="1192">
      <c r="A1192" s="80"/>
      <c r="B1192" s="89"/>
      <c r="C1192" s="85"/>
      <c r="D1192" s="85"/>
      <c r="E1192" s="83" t="s">
        <v>1037</v>
      </c>
      <c r="F1192" s="84" t="s">
        <v>1036</v>
      </c>
      <c r="G1192" s="85"/>
      <c r="H1192" s="85"/>
      <c r="I1192" s="85"/>
      <c r="J1192" s="85"/>
      <c r="K1192" s="85"/>
      <c r="L1192" s="86"/>
      <c r="M1192" s="90" t="n">
        <f aca="false">239+230</f>
        <v>469</v>
      </c>
      <c r="N1192" s="91" t="n">
        <f aca="false">766+823</f>
        <v>1589</v>
      </c>
      <c r="O1192" s="90" t="n">
        <v>249</v>
      </c>
      <c r="P1192" s="90" t="s">
        <v>1005</v>
      </c>
      <c r="Q1192" s="81" t="n">
        <v>198</v>
      </c>
      <c r="R1192" s="81"/>
      <c r="S1192" s="81" t="n">
        <v>189</v>
      </c>
      <c r="T1192" s="81" t="s">
        <v>1005</v>
      </c>
      <c r="U1192" s="81" t="n">
        <v>197</v>
      </c>
      <c r="V1192" s="81" t="s">
        <v>1005</v>
      </c>
      <c r="W1192" s="81" t="n">
        <v>131</v>
      </c>
      <c r="X1192" s="81" t="s">
        <v>1005</v>
      </c>
      <c r="Y1192" s="81" t="n">
        <v>133</v>
      </c>
      <c r="Z1192" s="81" t="s">
        <v>1005</v>
      </c>
      <c r="AA1192" s="81" t="n">
        <v>103</v>
      </c>
      <c r="AB1192" s="81" t="s">
        <v>1005</v>
      </c>
      <c r="AC1192" s="81" t="n">
        <v>124</v>
      </c>
      <c r="AD1192" s="81" t="s">
        <v>1005</v>
      </c>
      <c r="AE1192" s="90" t="n">
        <v>124</v>
      </c>
      <c r="AF1192" s="81" t="s">
        <v>1005</v>
      </c>
      <c r="AG1192" s="81" t="n">
        <f aca="false">42+61</f>
        <v>103</v>
      </c>
      <c r="AH1192" s="81" t="s">
        <v>1005</v>
      </c>
      <c r="AI1192" s="81" t="n">
        <f aca="false">103+76</f>
        <v>179</v>
      </c>
      <c r="AJ1192" s="81" t="s">
        <v>1005</v>
      </c>
      <c r="AK1192" s="81" t="n">
        <f aca="false">122+93</f>
        <v>215</v>
      </c>
      <c r="AL1192" s="81" t="s">
        <v>1005</v>
      </c>
      <c r="AM1192" s="81" t="n">
        <f aca="false">O1192+Q1192+S1192+U1192+W1192+Y1192+AA1192+AC1192+AE1192+AG1192+AI1192+AK1192</f>
        <v>1945</v>
      </c>
    </row>
    <row collapsed="false" customFormat="false" customHeight="true" hidden="false" ht="16.2" outlineLevel="0" r="1193">
      <c r="A1193" s="80" t="n">
        <v>610</v>
      </c>
      <c r="B1193" s="81"/>
      <c r="C1193" s="82" t="s">
        <v>1033</v>
      </c>
      <c r="D1193" s="85"/>
      <c r="E1193" s="83" t="s">
        <v>1035</v>
      </c>
      <c r="F1193" s="49" t="s">
        <v>1036</v>
      </c>
      <c r="G1193" s="85"/>
      <c r="H1193" s="85"/>
      <c r="I1193" s="85"/>
      <c r="J1193" s="85"/>
      <c r="K1193" s="85"/>
      <c r="L1193" s="85"/>
      <c r="M1193" s="81"/>
      <c r="N1193" s="81"/>
      <c r="O1193" s="96"/>
      <c r="P1193" s="81"/>
      <c r="Q1193" s="81"/>
      <c r="R1193" s="81"/>
      <c r="S1193" s="81"/>
      <c r="T1193" s="81"/>
      <c r="U1193" s="81"/>
      <c r="V1193" s="81"/>
      <c r="W1193" s="81"/>
      <c r="X1193" s="81"/>
      <c r="Y1193" s="81"/>
      <c r="Z1193" s="81"/>
      <c r="AA1193" s="81"/>
      <c r="AB1193" s="81"/>
      <c r="AC1193" s="81"/>
      <c r="AD1193" s="81"/>
      <c r="AE1193" s="81"/>
      <c r="AF1193" s="81"/>
      <c r="AG1193" s="81"/>
      <c r="AH1193" s="81"/>
      <c r="AI1193" s="81"/>
      <c r="AJ1193" s="81"/>
      <c r="AK1193" s="81"/>
      <c r="AL1193" s="81"/>
      <c r="AM1193" s="81"/>
    </row>
    <row collapsed="false" customFormat="false" customHeight="true" hidden="false" ht="16.2" outlineLevel="0" r="1194">
      <c r="A1194" s="80"/>
      <c r="B1194" s="81" t="s">
        <v>840</v>
      </c>
      <c r="C1194" s="85"/>
      <c r="D1194" s="85" t="s">
        <v>1054</v>
      </c>
      <c r="E1194" s="83" t="s">
        <v>1037</v>
      </c>
      <c r="F1194" s="49" t="s">
        <v>1036</v>
      </c>
      <c r="G1194" s="85" t="s">
        <v>1039</v>
      </c>
      <c r="H1194" s="85" t="n">
        <v>8</v>
      </c>
      <c r="I1194" s="85" t="s">
        <v>1039</v>
      </c>
      <c r="J1194" s="85" t="n">
        <v>2</v>
      </c>
      <c r="K1194" s="85" t="s">
        <v>1041</v>
      </c>
      <c r="L1194" s="85" t="s">
        <v>1041</v>
      </c>
      <c r="M1194" s="81" t="n">
        <v>0</v>
      </c>
      <c r="N1194" s="81"/>
      <c r="O1194" s="96"/>
      <c r="P1194" s="81"/>
      <c r="Q1194" s="81"/>
      <c r="R1194" s="81"/>
      <c r="S1194" s="81"/>
      <c r="T1194" s="81"/>
      <c r="U1194" s="81"/>
      <c r="V1194" s="81"/>
      <c r="W1194" s="81"/>
      <c r="X1194" s="81"/>
      <c r="Y1194" s="81"/>
      <c r="Z1194" s="81"/>
      <c r="AA1194" s="81"/>
      <c r="AB1194" s="81"/>
      <c r="AC1194" s="81"/>
      <c r="AD1194" s="81"/>
      <c r="AE1194" s="81"/>
      <c r="AF1194" s="81"/>
      <c r="AG1194" s="81"/>
      <c r="AH1194" s="81"/>
      <c r="AI1194" s="81"/>
      <c r="AJ1194" s="81"/>
      <c r="AK1194" s="81"/>
      <c r="AL1194" s="81"/>
      <c r="AM1194" s="81"/>
    </row>
    <row collapsed="false" customFormat="false" customHeight="true" hidden="false" ht="16.2" outlineLevel="0" r="1195">
      <c r="A1195" s="80" t="n">
        <v>611</v>
      </c>
      <c r="B1195" s="81"/>
      <c r="C1195" s="82" t="s">
        <v>1033</v>
      </c>
      <c r="D1195" s="85"/>
      <c r="E1195" s="83" t="s">
        <v>1035</v>
      </c>
      <c r="F1195" s="49" t="s">
        <v>1036</v>
      </c>
      <c r="G1195" s="85"/>
      <c r="H1195" s="85"/>
      <c r="I1195" s="85"/>
      <c r="J1195" s="85"/>
      <c r="K1195" s="85"/>
      <c r="L1195" s="85"/>
      <c r="M1195" s="81"/>
      <c r="N1195" s="81"/>
      <c r="O1195" s="96"/>
      <c r="P1195" s="81"/>
      <c r="Q1195" s="81"/>
      <c r="R1195" s="81"/>
      <c r="S1195" s="81"/>
      <c r="T1195" s="81"/>
      <c r="U1195" s="81"/>
      <c r="V1195" s="81"/>
      <c r="W1195" s="81"/>
      <c r="X1195" s="81"/>
      <c r="Y1195" s="81"/>
      <c r="Z1195" s="81"/>
      <c r="AA1195" s="81"/>
      <c r="AB1195" s="81"/>
      <c r="AC1195" s="81"/>
      <c r="AD1195" s="81"/>
      <c r="AE1195" s="81"/>
      <c r="AF1195" s="81"/>
      <c r="AG1195" s="81"/>
      <c r="AH1195" s="81"/>
      <c r="AI1195" s="81"/>
      <c r="AJ1195" s="81"/>
      <c r="AK1195" s="81"/>
      <c r="AL1195" s="81"/>
      <c r="AM1195" s="81"/>
    </row>
    <row collapsed="false" customFormat="false" customHeight="true" hidden="false" ht="16.2" outlineLevel="0" r="1196">
      <c r="A1196" s="80"/>
      <c r="B1196" s="81" t="s">
        <v>843</v>
      </c>
      <c r="C1196" s="85"/>
      <c r="D1196" s="85" t="s">
        <v>1054</v>
      </c>
      <c r="E1196" s="83" t="s">
        <v>1037</v>
      </c>
      <c r="F1196" s="49" t="s">
        <v>1036</v>
      </c>
      <c r="G1196" s="85" t="s">
        <v>1039</v>
      </c>
      <c r="H1196" s="85" t="n">
        <v>8</v>
      </c>
      <c r="I1196" s="85" t="s">
        <v>1039</v>
      </c>
      <c r="J1196" s="85" t="n">
        <v>2</v>
      </c>
      <c r="K1196" s="85" t="s">
        <v>1041</v>
      </c>
      <c r="L1196" s="85" t="s">
        <v>1041</v>
      </c>
      <c r="M1196" s="81"/>
      <c r="N1196" s="81"/>
      <c r="O1196" s="96"/>
      <c r="P1196" s="81"/>
      <c r="Q1196" s="81"/>
      <c r="R1196" s="81"/>
      <c r="S1196" s="81"/>
      <c r="T1196" s="81"/>
      <c r="U1196" s="81"/>
      <c r="V1196" s="81"/>
      <c r="W1196" s="81"/>
      <c r="X1196" s="81"/>
      <c r="Y1196" s="81"/>
      <c r="Z1196" s="81"/>
      <c r="AA1196" s="81"/>
      <c r="AB1196" s="81"/>
      <c r="AC1196" s="81"/>
      <c r="AD1196" s="81"/>
      <c r="AE1196" s="81"/>
      <c r="AF1196" s="81"/>
      <c r="AG1196" s="81"/>
      <c r="AH1196" s="81"/>
      <c r="AI1196" s="81"/>
      <c r="AJ1196" s="81"/>
      <c r="AK1196" s="81"/>
      <c r="AL1196" s="81"/>
      <c r="AM1196" s="81"/>
    </row>
    <row collapsed="false" customFormat="false" customHeight="true" hidden="false" ht="16.2" outlineLevel="0" r="1197">
      <c r="A1197" s="80" t="n">
        <v>612</v>
      </c>
      <c r="B1197" s="81"/>
      <c r="C1197" s="82" t="s">
        <v>1033</v>
      </c>
      <c r="D1197" s="85"/>
      <c r="E1197" s="83" t="s">
        <v>1035</v>
      </c>
      <c r="F1197" s="49" t="s">
        <v>1036</v>
      </c>
      <c r="G1197" s="85"/>
      <c r="H1197" s="85"/>
      <c r="I1197" s="85"/>
      <c r="J1197" s="85"/>
      <c r="K1197" s="85"/>
      <c r="L1197" s="85"/>
      <c r="M1197" s="81"/>
      <c r="N1197" s="81"/>
      <c r="O1197" s="96"/>
      <c r="P1197" s="81"/>
      <c r="Q1197" s="81"/>
      <c r="R1197" s="81"/>
      <c r="S1197" s="81"/>
      <c r="T1197" s="81"/>
      <c r="U1197" s="81"/>
      <c r="V1197" s="81"/>
      <c r="W1197" s="81"/>
      <c r="X1197" s="81"/>
      <c r="Y1197" s="81"/>
      <c r="Z1197" s="81"/>
      <c r="AA1197" s="81"/>
      <c r="AB1197" s="81"/>
      <c r="AC1197" s="81"/>
      <c r="AD1197" s="81"/>
      <c r="AE1197" s="81"/>
      <c r="AF1197" s="81"/>
      <c r="AG1197" s="81"/>
      <c r="AH1197" s="81"/>
      <c r="AI1197" s="81"/>
      <c r="AJ1197" s="81"/>
      <c r="AK1197" s="81"/>
      <c r="AL1197" s="81"/>
      <c r="AM1197" s="81"/>
    </row>
    <row collapsed="false" customFormat="false" customHeight="true" hidden="false" ht="16.2" outlineLevel="0" r="1198">
      <c r="A1198" s="80"/>
      <c r="B1198" s="81" t="s">
        <v>844</v>
      </c>
      <c r="C1198" s="85"/>
      <c r="D1198" s="85" t="s">
        <v>1054</v>
      </c>
      <c r="E1198" s="83" t="s">
        <v>1037</v>
      </c>
      <c r="F1198" s="49" t="s">
        <v>1036</v>
      </c>
      <c r="G1198" s="85" t="s">
        <v>1039</v>
      </c>
      <c r="H1198" s="85" t="n">
        <v>8</v>
      </c>
      <c r="I1198" s="85" t="s">
        <v>1039</v>
      </c>
      <c r="J1198" s="85" t="n">
        <v>2</v>
      </c>
      <c r="K1198" s="85" t="s">
        <v>1041</v>
      </c>
      <c r="L1198" s="85" t="s">
        <v>1041</v>
      </c>
      <c r="M1198" s="81"/>
      <c r="N1198" s="81"/>
      <c r="O1198" s="96"/>
      <c r="P1198" s="81"/>
      <c r="Q1198" s="81"/>
      <c r="R1198" s="81"/>
      <c r="S1198" s="81"/>
      <c r="T1198" s="81"/>
      <c r="U1198" s="81"/>
      <c r="V1198" s="81"/>
      <c r="W1198" s="81"/>
      <c r="X1198" s="81"/>
      <c r="Y1198" s="81"/>
      <c r="Z1198" s="81"/>
      <c r="AA1198" s="81"/>
      <c r="AB1198" s="81"/>
      <c r="AC1198" s="81"/>
      <c r="AD1198" s="81"/>
      <c r="AE1198" s="81"/>
      <c r="AF1198" s="81"/>
      <c r="AG1198" s="81"/>
      <c r="AH1198" s="81"/>
      <c r="AI1198" s="81"/>
      <c r="AJ1198" s="81"/>
      <c r="AK1198" s="81"/>
      <c r="AL1198" s="81"/>
      <c r="AM1198" s="81"/>
    </row>
    <row collapsed="false" customFormat="false" customHeight="true" hidden="false" ht="16.2" outlineLevel="0" r="1199">
      <c r="A1199" s="80" t="n">
        <v>613</v>
      </c>
      <c r="B1199" s="81"/>
      <c r="C1199" s="82" t="s">
        <v>1033</v>
      </c>
      <c r="D1199" s="85"/>
      <c r="E1199" s="83" t="s">
        <v>1035</v>
      </c>
      <c r="F1199" s="49" t="s">
        <v>1036</v>
      </c>
      <c r="G1199" s="85"/>
      <c r="H1199" s="85"/>
      <c r="I1199" s="85"/>
      <c r="J1199" s="85"/>
      <c r="K1199" s="85"/>
      <c r="L1199" s="85"/>
      <c r="M1199" s="81"/>
      <c r="N1199" s="81"/>
      <c r="O1199" s="96"/>
      <c r="P1199" s="81"/>
      <c r="Q1199" s="81"/>
      <c r="R1199" s="81"/>
      <c r="S1199" s="81"/>
      <c r="T1199" s="81"/>
      <c r="U1199" s="81"/>
      <c r="V1199" s="81"/>
      <c r="W1199" s="81"/>
      <c r="X1199" s="81"/>
      <c r="Y1199" s="81"/>
      <c r="Z1199" s="81"/>
      <c r="AA1199" s="81"/>
      <c r="AB1199" s="81"/>
      <c r="AC1199" s="81"/>
      <c r="AD1199" s="81"/>
      <c r="AE1199" s="81"/>
      <c r="AF1199" s="81"/>
      <c r="AG1199" s="81"/>
      <c r="AH1199" s="81"/>
      <c r="AI1199" s="81"/>
      <c r="AJ1199" s="81"/>
      <c r="AK1199" s="81"/>
      <c r="AL1199" s="81"/>
      <c r="AM1199" s="81"/>
    </row>
    <row collapsed="false" customFormat="false" customHeight="true" hidden="false" ht="16.2" outlineLevel="0" r="1200">
      <c r="A1200" s="80"/>
      <c r="B1200" s="81" t="s">
        <v>845</v>
      </c>
      <c r="C1200" s="85"/>
      <c r="D1200" s="85" t="s">
        <v>1054</v>
      </c>
      <c r="E1200" s="83" t="s">
        <v>1037</v>
      </c>
      <c r="F1200" s="49" t="s">
        <v>1036</v>
      </c>
      <c r="G1200" s="85" t="s">
        <v>1039</v>
      </c>
      <c r="H1200" s="85" t="n">
        <v>7</v>
      </c>
      <c r="I1200" s="85" t="s">
        <v>1039</v>
      </c>
      <c r="J1200" s="85" t="n">
        <v>2</v>
      </c>
      <c r="K1200" s="85" t="s">
        <v>1041</v>
      </c>
      <c r="L1200" s="85" t="s">
        <v>1041</v>
      </c>
      <c r="M1200" s="81"/>
      <c r="N1200" s="81"/>
      <c r="O1200" s="96"/>
      <c r="P1200" s="81"/>
      <c r="Q1200" s="81"/>
      <c r="R1200" s="81"/>
      <c r="S1200" s="81"/>
      <c r="T1200" s="81"/>
      <c r="U1200" s="81"/>
      <c r="V1200" s="81"/>
      <c r="W1200" s="81"/>
      <c r="X1200" s="81"/>
      <c r="Y1200" s="81"/>
      <c r="Z1200" s="81"/>
      <c r="AA1200" s="81"/>
      <c r="AB1200" s="81"/>
      <c r="AC1200" s="81"/>
      <c r="AD1200" s="81"/>
      <c r="AE1200" s="81"/>
      <c r="AF1200" s="81"/>
      <c r="AG1200" s="81"/>
      <c r="AH1200" s="81"/>
      <c r="AI1200" s="81"/>
      <c r="AJ1200" s="81"/>
      <c r="AK1200" s="81"/>
      <c r="AL1200" s="81"/>
      <c r="AM1200" s="81"/>
    </row>
    <row collapsed="false" customFormat="false" customHeight="true" hidden="false" ht="16.2" outlineLevel="0" r="1201">
      <c r="A1201" s="80" t="n">
        <v>614</v>
      </c>
      <c r="B1201" s="81"/>
      <c r="C1201" s="82" t="s">
        <v>1033</v>
      </c>
      <c r="D1201" s="85"/>
      <c r="E1201" s="83" t="s">
        <v>1035</v>
      </c>
      <c r="F1201" s="49" t="s">
        <v>1036</v>
      </c>
      <c r="G1201" s="85"/>
      <c r="H1201" s="85"/>
      <c r="I1201" s="85"/>
      <c r="J1201" s="85"/>
      <c r="K1201" s="85"/>
      <c r="L1201" s="85"/>
      <c r="M1201" s="81"/>
      <c r="N1201" s="81"/>
      <c r="O1201" s="96"/>
      <c r="P1201" s="81"/>
      <c r="Q1201" s="81"/>
      <c r="R1201" s="81"/>
      <c r="S1201" s="81"/>
      <c r="T1201" s="81"/>
      <c r="U1201" s="81"/>
      <c r="V1201" s="81"/>
      <c r="W1201" s="81"/>
      <c r="X1201" s="81"/>
      <c r="Y1201" s="81"/>
      <c r="Z1201" s="81"/>
      <c r="AA1201" s="81"/>
      <c r="AB1201" s="81"/>
      <c r="AC1201" s="81"/>
      <c r="AD1201" s="81"/>
      <c r="AE1201" s="81"/>
      <c r="AF1201" s="81"/>
      <c r="AG1201" s="81"/>
      <c r="AH1201" s="81"/>
      <c r="AI1201" s="81"/>
      <c r="AJ1201" s="81"/>
      <c r="AK1201" s="81"/>
      <c r="AL1201" s="81"/>
      <c r="AM1201" s="81"/>
    </row>
    <row collapsed="false" customFormat="false" customHeight="true" hidden="false" ht="16.2" outlineLevel="0" r="1202">
      <c r="A1202" s="80"/>
      <c r="B1202" s="81" t="s">
        <v>847</v>
      </c>
      <c r="C1202" s="85"/>
      <c r="D1202" s="85" t="s">
        <v>1054</v>
      </c>
      <c r="E1202" s="83" t="s">
        <v>1037</v>
      </c>
      <c r="F1202" s="49" t="s">
        <v>1036</v>
      </c>
      <c r="G1202" s="85" t="s">
        <v>1039</v>
      </c>
      <c r="H1202" s="85" t="n">
        <v>8</v>
      </c>
      <c r="I1202" s="85" t="s">
        <v>1039</v>
      </c>
      <c r="J1202" s="85" t="n">
        <v>2</v>
      </c>
      <c r="K1202" s="85" t="s">
        <v>1041</v>
      </c>
      <c r="L1202" s="85" t="s">
        <v>1041</v>
      </c>
      <c r="M1202" s="81"/>
      <c r="N1202" s="81"/>
      <c r="O1202" s="96"/>
      <c r="P1202" s="81"/>
      <c r="Q1202" s="81"/>
      <c r="R1202" s="81"/>
      <c r="S1202" s="81"/>
      <c r="T1202" s="81"/>
      <c r="U1202" s="81"/>
      <c r="V1202" s="81"/>
      <c r="W1202" s="81"/>
      <c r="X1202" s="81"/>
      <c r="Y1202" s="81"/>
      <c r="Z1202" s="81"/>
      <c r="AA1202" s="81"/>
      <c r="AB1202" s="81"/>
      <c r="AC1202" s="81"/>
      <c r="AD1202" s="81"/>
      <c r="AE1202" s="81"/>
      <c r="AF1202" s="81"/>
      <c r="AG1202" s="81"/>
      <c r="AH1202" s="81"/>
      <c r="AI1202" s="81"/>
      <c r="AJ1202" s="81"/>
      <c r="AK1202" s="81"/>
      <c r="AL1202" s="81"/>
      <c r="AM1202" s="81"/>
    </row>
    <row collapsed="false" customFormat="false" customHeight="true" hidden="false" ht="16.2" outlineLevel="0" r="1203">
      <c r="A1203" s="80" t="n">
        <v>615</v>
      </c>
      <c r="B1203" s="81"/>
      <c r="C1203" s="82" t="s">
        <v>1033</v>
      </c>
      <c r="D1203" s="85"/>
      <c r="E1203" s="83" t="s">
        <v>1035</v>
      </c>
      <c r="F1203" s="49" t="s">
        <v>1036</v>
      </c>
      <c r="G1203" s="85"/>
      <c r="H1203" s="85"/>
      <c r="I1203" s="85"/>
      <c r="J1203" s="85"/>
      <c r="K1203" s="85"/>
      <c r="L1203" s="85"/>
      <c r="M1203" s="81"/>
      <c r="N1203" s="81"/>
      <c r="O1203" s="96"/>
      <c r="P1203" s="81"/>
      <c r="Q1203" s="81"/>
      <c r="R1203" s="81"/>
      <c r="S1203" s="81"/>
      <c r="T1203" s="81"/>
      <c r="U1203" s="81"/>
      <c r="V1203" s="81"/>
      <c r="W1203" s="81"/>
      <c r="X1203" s="81"/>
      <c r="Y1203" s="81"/>
      <c r="Z1203" s="81"/>
      <c r="AA1203" s="81"/>
      <c r="AB1203" s="81"/>
      <c r="AC1203" s="81"/>
      <c r="AD1203" s="81"/>
      <c r="AE1203" s="81"/>
      <c r="AF1203" s="81"/>
      <c r="AG1203" s="81"/>
      <c r="AH1203" s="81"/>
      <c r="AI1203" s="81"/>
      <c r="AJ1203" s="81"/>
      <c r="AK1203" s="81"/>
      <c r="AL1203" s="81"/>
      <c r="AM1203" s="81"/>
    </row>
    <row collapsed="false" customFormat="false" customHeight="true" hidden="false" ht="16.2" outlineLevel="0" r="1204">
      <c r="A1204" s="80"/>
      <c r="B1204" s="81" t="s">
        <v>848</v>
      </c>
      <c r="C1204" s="85"/>
      <c r="D1204" s="85" t="s">
        <v>1054</v>
      </c>
      <c r="E1204" s="83" t="s">
        <v>1037</v>
      </c>
      <c r="F1204" s="49" t="s">
        <v>1036</v>
      </c>
      <c r="G1204" s="85" t="s">
        <v>1039</v>
      </c>
      <c r="H1204" s="85" t="n">
        <v>10</v>
      </c>
      <c r="I1204" s="85" t="s">
        <v>1039</v>
      </c>
      <c r="J1204" s="85" t="n">
        <v>2</v>
      </c>
      <c r="K1204" s="85" t="s">
        <v>1041</v>
      </c>
      <c r="L1204" s="85" t="s">
        <v>1041</v>
      </c>
      <c r="M1204" s="81" t="n">
        <v>1002</v>
      </c>
      <c r="N1204" s="81"/>
      <c r="O1204" s="96"/>
      <c r="P1204" s="81"/>
      <c r="Q1204" s="81"/>
      <c r="R1204" s="81"/>
      <c r="S1204" s="81"/>
      <c r="T1204" s="81"/>
      <c r="U1204" s="81"/>
      <c r="V1204" s="81"/>
      <c r="W1204" s="81"/>
      <c r="X1204" s="81"/>
      <c r="Y1204" s="81"/>
      <c r="Z1204" s="81"/>
      <c r="AA1204" s="81"/>
      <c r="AB1204" s="81"/>
      <c r="AC1204" s="81"/>
      <c r="AD1204" s="81"/>
      <c r="AE1204" s="81"/>
      <c r="AF1204" s="81"/>
      <c r="AG1204" s="81"/>
      <c r="AH1204" s="81"/>
      <c r="AI1204" s="81"/>
      <c r="AJ1204" s="81"/>
      <c r="AK1204" s="81"/>
      <c r="AL1204" s="81"/>
      <c r="AM1204" s="81"/>
    </row>
    <row collapsed="false" customFormat="false" customHeight="true" hidden="false" ht="16.2" outlineLevel="0" r="1205">
      <c r="A1205" s="80" t="n">
        <v>616</v>
      </c>
      <c r="B1205" s="81"/>
      <c r="C1205" s="82" t="s">
        <v>1033</v>
      </c>
      <c r="D1205" s="85"/>
      <c r="E1205" s="83" t="s">
        <v>1035</v>
      </c>
      <c r="F1205" s="49" t="s">
        <v>1036</v>
      </c>
      <c r="G1205" s="85"/>
      <c r="H1205" s="85"/>
      <c r="I1205" s="85"/>
      <c r="J1205" s="85"/>
      <c r="K1205" s="85"/>
      <c r="L1205" s="85"/>
      <c r="M1205" s="81"/>
      <c r="N1205" s="81"/>
      <c r="O1205" s="96"/>
      <c r="P1205" s="81"/>
      <c r="Q1205" s="81"/>
      <c r="R1205" s="81"/>
      <c r="S1205" s="81"/>
      <c r="T1205" s="81"/>
      <c r="U1205" s="81"/>
      <c r="V1205" s="81"/>
      <c r="W1205" s="81"/>
      <c r="X1205" s="81"/>
      <c r="Y1205" s="81"/>
      <c r="Z1205" s="81"/>
      <c r="AA1205" s="81"/>
      <c r="AB1205" s="81"/>
      <c r="AC1205" s="81"/>
      <c r="AD1205" s="81"/>
      <c r="AE1205" s="81"/>
      <c r="AF1205" s="81"/>
      <c r="AG1205" s="81"/>
      <c r="AH1205" s="81"/>
      <c r="AI1205" s="81"/>
      <c r="AJ1205" s="81"/>
      <c r="AK1205" s="81"/>
      <c r="AL1205" s="81"/>
      <c r="AM1205" s="81"/>
    </row>
    <row collapsed="false" customFormat="false" customHeight="true" hidden="false" ht="16.2" outlineLevel="0" r="1206">
      <c r="A1206" s="80"/>
      <c r="B1206" s="81" t="s">
        <v>849</v>
      </c>
      <c r="C1206" s="85"/>
      <c r="D1206" s="85" t="s">
        <v>1054</v>
      </c>
      <c r="E1206" s="83" t="s">
        <v>1037</v>
      </c>
      <c r="F1206" s="49" t="s">
        <v>1036</v>
      </c>
      <c r="G1206" s="85" t="s">
        <v>1039</v>
      </c>
      <c r="H1206" s="85" t="n">
        <v>8</v>
      </c>
      <c r="I1206" s="85" t="s">
        <v>1039</v>
      </c>
      <c r="J1206" s="85" t="n">
        <v>2</v>
      </c>
      <c r="K1206" s="85" t="s">
        <v>1041</v>
      </c>
      <c r="L1206" s="85" t="s">
        <v>1041</v>
      </c>
      <c r="M1206" s="81"/>
      <c r="N1206" s="81"/>
      <c r="O1206" s="96"/>
      <c r="P1206" s="81"/>
      <c r="Q1206" s="81"/>
      <c r="R1206" s="81"/>
      <c r="S1206" s="81"/>
      <c r="T1206" s="81"/>
      <c r="U1206" s="81"/>
      <c r="V1206" s="81"/>
      <c r="W1206" s="81"/>
      <c r="X1206" s="81"/>
      <c r="Y1206" s="81"/>
      <c r="Z1206" s="81"/>
      <c r="AA1206" s="81"/>
      <c r="AB1206" s="81"/>
      <c r="AC1206" s="81"/>
      <c r="AD1206" s="81"/>
      <c r="AE1206" s="81"/>
      <c r="AF1206" s="81"/>
      <c r="AG1206" s="81"/>
      <c r="AH1206" s="81"/>
      <c r="AI1206" s="81"/>
      <c r="AJ1206" s="81"/>
      <c r="AK1206" s="81"/>
      <c r="AL1206" s="81"/>
      <c r="AM1206" s="81"/>
    </row>
    <row collapsed="false" customFormat="false" customHeight="true" hidden="false" ht="16.2" outlineLevel="0" r="1207">
      <c r="A1207" s="80" t="n">
        <v>617</v>
      </c>
      <c r="B1207" s="81"/>
      <c r="C1207" s="82" t="s">
        <v>1033</v>
      </c>
      <c r="D1207" s="85"/>
      <c r="E1207" s="83" t="s">
        <v>1035</v>
      </c>
      <c r="F1207" s="49" t="s">
        <v>1036</v>
      </c>
      <c r="G1207" s="85"/>
      <c r="H1207" s="85"/>
      <c r="I1207" s="85"/>
      <c r="J1207" s="85"/>
      <c r="K1207" s="85"/>
      <c r="L1207" s="85"/>
      <c r="M1207" s="81"/>
      <c r="N1207" s="81"/>
      <c r="O1207" s="96"/>
      <c r="P1207" s="81"/>
      <c r="Q1207" s="81"/>
      <c r="R1207" s="81"/>
      <c r="S1207" s="81"/>
      <c r="T1207" s="81"/>
      <c r="U1207" s="81"/>
      <c r="V1207" s="81"/>
      <c r="W1207" s="81"/>
      <c r="X1207" s="81"/>
      <c r="Y1207" s="81"/>
      <c r="Z1207" s="81"/>
      <c r="AA1207" s="81"/>
      <c r="AB1207" s="81"/>
      <c r="AC1207" s="81"/>
      <c r="AD1207" s="81"/>
      <c r="AE1207" s="81"/>
      <c r="AF1207" s="81"/>
      <c r="AG1207" s="81"/>
      <c r="AH1207" s="81"/>
      <c r="AI1207" s="81"/>
      <c r="AJ1207" s="81"/>
      <c r="AK1207" s="81"/>
      <c r="AL1207" s="81"/>
      <c r="AM1207" s="81"/>
    </row>
    <row collapsed="false" customFormat="false" customHeight="true" hidden="false" ht="16.2" outlineLevel="0" r="1208">
      <c r="A1208" s="80"/>
      <c r="B1208" s="81" t="s">
        <v>850</v>
      </c>
      <c r="C1208" s="85"/>
      <c r="D1208" s="85" t="s">
        <v>1054</v>
      </c>
      <c r="E1208" s="83" t="s">
        <v>1037</v>
      </c>
      <c r="F1208" s="49" t="s">
        <v>1036</v>
      </c>
      <c r="G1208" s="85" t="s">
        <v>1039</v>
      </c>
      <c r="H1208" s="85" t="n">
        <v>8</v>
      </c>
      <c r="I1208" s="85" t="s">
        <v>1039</v>
      </c>
      <c r="J1208" s="85" t="n">
        <v>2</v>
      </c>
      <c r="K1208" s="85" t="s">
        <v>1041</v>
      </c>
      <c r="L1208" s="85" t="s">
        <v>1041</v>
      </c>
      <c r="M1208" s="81" t="n">
        <v>990</v>
      </c>
      <c r="N1208" s="81"/>
      <c r="O1208" s="96"/>
      <c r="P1208" s="81"/>
      <c r="Q1208" s="81"/>
      <c r="R1208" s="81"/>
      <c r="S1208" s="81"/>
      <c r="T1208" s="81"/>
      <c r="U1208" s="81"/>
      <c r="V1208" s="81"/>
      <c r="W1208" s="81"/>
      <c r="X1208" s="81"/>
      <c r="Y1208" s="81"/>
      <c r="Z1208" s="81"/>
      <c r="AA1208" s="81"/>
      <c r="AB1208" s="81"/>
      <c r="AC1208" s="81"/>
      <c r="AD1208" s="81"/>
      <c r="AE1208" s="81"/>
      <c r="AF1208" s="81"/>
      <c r="AG1208" s="81"/>
      <c r="AH1208" s="81"/>
      <c r="AI1208" s="81"/>
      <c r="AJ1208" s="81"/>
      <c r="AK1208" s="81"/>
      <c r="AL1208" s="81"/>
      <c r="AM1208" s="81"/>
    </row>
    <row collapsed="false" customFormat="false" customHeight="true" hidden="false" ht="16.2" outlineLevel="0" r="1209">
      <c r="A1209" s="80" t="n">
        <v>618</v>
      </c>
      <c r="B1209" s="81"/>
      <c r="C1209" s="82" t="s">
        <v>1033</v>
      </c>
      <c r="D1209" s="85"/>
      <c r="E1209" s="83" t="s">
        <v>1035</v>
      </c>
      <c r="F1209" s="49" t="s">
        <v>1036</v>
      </c>
      <c r="G1209" s="85"/>
      <c r="H1209" s="85"/>
      <c r="I1209" s="85"/>
      <c r="J1209" s="85"/>
      <c r="K1209" s="85"/>
      <c r="L1209" s="85"/>
      <c r="M1209" s="81"/>
      <c r="N1209" s="81"/>
      <c r="O1209" s="96"/>
      <c r="P1209" s="81"/>
      <c r="Q1209" s="81"/>
      <c r="R1209" s="81"/>
      <c r="S1209" s="81"/>
      <c r="T1209" s="81"/>
      <c r="U1209" s="81"/>
      <c r="V1209" s="81"/>
      <c r="W1209" s="81"/>
      <c r="X1209" s="81"/>
      <c r="Y1209" s="81"/>
      <c r="Z1209" s="81"/>
      <c r="AA1209" s="81"/>
      <c r="AB1209" s="81"/>
      <c r="AC1209" s="81"/>
      <c r="AD1209" s="81"/>
      <c r="AE1209" s="81"/>
      <c r="AF1209" s="81"/>
      <c r="AG1209" s="81"/>
      <c r="AH1209" s="81"/>
      <c r="AI1209" s="81"/>
      <c r="AJ1209" s="81"/>
      <c r="AK1209" s="81"/>
      <c r="AL1209" s="81"/>
      <c r="AM1209" s="81"/>
    </row>
    <row collapsed="false" customFormat="false" customHeight="true" hidden="false" ht="16.2" outlineLevel="0" r="1210">
      <c r="A1210" s="80"/>
      <c r="B1210" s="81" t="s">
        <v>852</v>
      </c>
      <c r="C1210" s="85"/>
      <c r="D1210" s="85" t="s">
        <v>1054</v>
      </c>
      <c r="E1210" s="83" t="s">
        <v>1037</v>
      </c>
      <c r="F1210" s="49" t="s">
        <v>1036</v>
      </c>
      <c r="G1210" s="85" t="s">
        <v>1039</v>
      </c>
      <c r="H1210" s="85" t="n">
        <v>8</v>
      </c>
      <c r="I1210" s="85" t="s">
        <v>1039</v>
      </c>
      <c r="J1210" s="85" t="n">
        <v>4</v>
      </c>
      <c r="K1210" s="85" t="s">
        <v>1041</v>
      </c>
      <c r="L1210" s="85" t="s">
        <v>1041</v>
      </c>
      <c r="M1210" s="81" t="n">
        <v>600</v>
      </c>
      <c r="N1210" s="81"/>
      <c r="O1210" s="96"/>
      <c r="P1210" s="81"/>
      <c r="Q1210" s="81"/>
      <c r="R1210" s="81"/>
      <c r="S1210" s="81"/>
      <c r="T1210" s="81"/>
      <c r="U1210" s="81"/>
      <c r="V1210" s="81"/>
      <c r="W1210" s="81"/>
      <c r="X1210" s="81"/>
      <c r="Y1210" s="81"/>
      <c r="Z1210" s="81"/>
      <c r="AA1210" s="81"/>
      <c r="AB1210" s="81"/>
      <c r="AC1210" s="81"/>
      <c r="AD1210" s="81"/>
      <c r="AE1210" s="81"/>
      <c r="AF1210" s="81"/>
      <c r="AG1210" s="81"/>
      <c r="AH1210" s="81"/>
      <c r="AI1210" s="81"/>
      <c r="AJ1210" s="81"/>
      <c r="AK1210" s="81"/>
      <c r="AL1210" s="81"/>
      <c r="AM1210" s="81"/>
    </row>
    <row collapsed="false" customFormat="false" customHeight="true" hidden="false" ht="16.2" outlineLevel="0" r="1211">
      <c r="A1211" s="80" t="n">
        <v>619</v>
      </c>
      <c r="B1211" s="81"/>
      <c r="C1211" s="82" t="s">
        <v>1033</v>
      </c>
      <c r="D1211" s="85"/>
      <c r="E1211" s="83" t="s">
        <v>1035</v>
      </c>
      <c r="F1211" s="49" t="s">
        <v>1036</v>
      </c>
      <c r="G1211" s="85"/>
      <c r="H1211" s="85"/>
      <c r="I1211" s="85"/>
      <c r="J1211" s="85"/>
      <c r="K1211" s="85"/>
      <c r="L1211" s="85"/>
      <c r="M1211" s="81"/>
      <c r="N1211" s="81"/>
      <c r="O1211" s="96"/>
      <c r="P1211" s="81"/>
      <c r="Q1211" s="81"/>
      <c r="R1211" s="81"/>
      <c r="S1211" s="81"/>
      <c r="T1211" s="81"/>
      <c r="U1211" s="81"/>
      <c r="V1211" s="81"/>
      <c r="W1211" s="81"/>
      <c r="X1211" s="81"/>
      <c r="Y1211" s="81"/>
      <c r="Z1211" s="81"/>
      <c r="AA1211" s="81"/>
      <c r="AB1211" s="81"/>
      <c r="AC1211" s="81"/>
      <c r="AD1211" s="81"/>
      <c r="AE1211" s="81"/>
      <c r="AF1211" s="81"/>
      <c r="AG1211" s="81"/>
      <c r="AH1211" s="81"/>
      <c r="AI1211" s="81"/>
      <c r="AJ1211" s="81"/>
      <c r="AK1211" s="81"/>
      <c r="AL1211" s="81"/>
      <c r="AM1211" s="81"/>
    </row>
    <row collapsed="false" customFormat="false" customHeight="true" hidden="false" ht="16.2" outlineLevel="0" r="1212">
      <c r="A1212" s="80"/>
      <c r="B1212" s="81" t="s">
        <v>853</v>
      </c>
      <c r="C1212" s="85"/>
      <c r="D1212" s="85" t="s">
        <v>1054</v>
      </c>
      <c r="E1212" s="83" t="s">
        <v>1037</v>
      </c>
      <c r="F1212" s="49" t="s">
        <v>1036</v>
      </c>
      <c r="G1212" s="85" t="s">
        <v>1039</v>
      </c>
      <c r="H1212" s="85" t="n">
        <v>12</v>
      </c>
      <c r="I1212" s="85" t="s">
        <v>1039</v>
      </c>
      <c r="J1212" s="85" t="n">
        <v>3</v>
      </c>
      <c r="K1212" s="85" t="s">
        <v>1041</v>
      </c>
      <c r="L1212" s="85" t="s">
        <v>1041</v>
      </c>
      <c r="M1212" s="81" t="n">
        <v>1662</v>
      </c>
      <c r="N1212" s="81"/>
      <c r="O1212" s="96"/>
      <c r="P1212" s="81"/>
      <c r="Q1212" s="81"/>
      <c r="R1212" s="81"/>
      <c r="S1212" s="81"/>
      <c r="T1212" s="81"/>
      <c r="U1212" s="81"/>
      <c r="V1212" s="81"/>
      <c r="W1212" s="81"/>
      <c r="X1212" s="81"/>
      <c r="Y1212" s="81"/>
      <c r="Z1212" s="81"/>
      <c r="AA1212" s="81"/>
      <c r="AB1212" s="81"/>
      <c r="AC1212" s="81"/>
      <c r="AD1212" s="81"/>
      <c r="AE1212" s="81"/>
      <c r="AF1212" s="81"/>
      <c r="AG1212" s="81"/>
      <c r="AH1212" s="81"/>
      <c r="AI1212" s="81"/>
      <c r="AJ1212" s="81"/>
      <c r="AK1212" s="81"/>
      <c r="AL1212" s="81"/>
      <c r="AM1212" s="81"/>
    </row>
    <row collapsed="false" customFormat="false" customHeight="true" hidden="false" ht="16.2" outlineLevel="0" r="1213">
      <c r="A1213" s="80" t="n">
        <v>620</v>
      </c>
      <c r="B1213" s="81"/>
      <c r="C1213" s="82" t="s">
        <v>1033</v>
      </c>
      <c r="D1213" s="85"/>
      <c r="E1213" s="83" t="s">
        <v>1035</v>
      </c>
      <c r="F1213" s="49" t="s">
        <v>1036</v>
      </c>
      <c r="G1213" s="85"/>
      <c r="H1213" s="85"/>
      <c r="I1213" s="85"/>
      <c r="J1213" s="85"/>
      <c r="K1213" s="85"/>
      <c r="L1213" s="85"/>
      <c r="M1213" s="81"/>
      <c r="N1213" s="81"/>
      <c r="O1213" s="96"/>
      <c r="P1213" s="81"/>
      <c r="Q1213" s="81"/>
      <c r="R1213" s="81"/>
      <c r="S1213" s="81"/>
      <c r="T1213" s="81"/>
      <c r="U1213" s="81"/>
      <c r="V1213" s="81"/>
      <c r="W1213" s="81"/>
      <c r="X1213" s="81"/>
      <c r="Y1213" s="81"/>
      <c r="Z1213" s="81"/>
      <c r="AA1213" s="81"/>
      <c r="AB1213" s="81"/>
      <c r="AC1213" s="81"/>
      <c r="AD1213" s="81"/>
      <c r="AE1213" s="81"/>
      <c r="AF1213" s="81"/>
      <c r="AG1213" s="81"/>
      <c r="AH1213" s="81"/>
      <c r="AI1213" s="81"/>
      <c r="AJ1213" s="81"/>
      <c r="AK1213" s="81"/>
      <c r="AL1213" s="81"/>
      <c r="AM1213" s="81"/>
    </row>
    <row collapsed="false" customFormat="false" customHeight="true" hidden="false" ht="16.2" outlineLevel="0" r="1214">
      <c r="A1214" s="80"/>
      <c r="B1214" s="81" t="s">
        <v>854</v>
      </c>
      <c r="C1214" s="85"/>
      <c r="D1214" s="85" t="s">
        <v>1054</v>
      </c>
      <c r="E1214" s="83" t="s">
        <v>1037</v>
      </c>
      <c r="F1214" s="49" t="s">
        <v>1036</v>
      </c>
      <c r="G1214" s="85" t="s">
        <v>1039</v>
      </c>
      <c r="H1214" s="85" t="n">
        <v>12</v>
      </c>
      <c r="I1214" s="85" t="s">
        <v>1039</v>
      </c>
      <c r="J1214" s="85" t="n">
        <v>3</v>
      </c>
      <c r="K1214" s="85" t="s">
        <v>1041</v>
      </c>
      <c r="L1214" s="85" t="s">
        <v>1041</v>
      </c>
      <c r="M1214" s="81" t="n">
        <v>2928</v>
      </c>
      <c r="N1214" s="81"/>
      <c r="O1214" s="96"/>
      <c r="P1214" s="81"/>
      <c r="Q1214" s="81"/>
      <c r="R1214" s="81"/>
      <c r="S1214" s="81"/>
      <c r="T1214" s="81"/>
      <c r="U1214" s="81"/>
      <c r="V1214" s="81"/>
      <c r="W1214" s="81"/>
      <c r="X1214" s="81"/>
      <c r="Y1214" s="81"/>
      <c r="Z1214" s="81"/>
      <c r="AA1214" s="81"/>
      <c r="AB1214" s="81"/>
      <c r="AC1214" s="81"/>
      <c r="AD1214" s="81"/>
      <c r="AE1214" s="81"/>
      <c r="AF1214" s="81"/>
      <c r="AG1214" s="81"/>
      <c r="AH1214" s="81"/>
      <c r="AI1214" s="81"/>
      <c r="AJ1214" s="81"/>
      <c r="AK1214" s="81"/>
      <c r="AL1214" s="81"/>
      <c r="AM1214" s="81"/>
    </row>
    <row collapsed="false" customFormat="false" customHeight="true" hidden="false" ht="16.2" outlineLevel="0" r="1215">
      <c r="A1215" s="80" t="n">
        <v>621</v>
      </c>
      <c r="B1215" s="81"/>
      <c r="C1215" s="82" t="s">
        <v>1033</v>
      </c>
      <c r="D1215" s="85"/>
      <c r="E1215" s="83" t="s">
        <v>1035</v>
      </c>
      <c r="F1215" s="49" t="s">
        <v>1036</v>
      </c>
      <c r="G1215" s="85"/>
      <c r="H1215" s="85"/>
      <c r="I1215" s="85"/>
      <c r="J1215" s="85"/>
      <c r="K1215" s="85"/>
      <c r="L1215" s="85"/>
      <c r="M1215" s="81"/>
      <c r="N1215" s="81"/>
      <c r="O1215" s="96"/>
      <c r="P1215" s="81"/>
      <c r="Q1215" s="81"/>
      <c r="R1215" s="81"/>
      <c r="S1215" s="81"/>
      <c r="T1215" s="81"/>
      <c r="U1215" s="81"/>
      <c r="V1215" s="81"/>
      <c r="W1215" s="81"/>
      <c r="X1215" s="81"/>
      <c r="Y1215" s="81"/>
      <c r="Z1215" s="81"/>
      <c r="AA1215" s="81"/>
      <c r="AB1215" s="81"/>
      <c r="AC1215" s="81"/>
      <c r="AD1215" s="81"/>
      <c r="AE1215" s="81"/>
      <c r="AF1215" s="81"/>
      <c r="AG1215" s="81"/>
      <c r="AH1215" s="81"/>
      <c r="AI1215" s="81"/>
      <c r="AJ1215" s="81"/>
      <c r="AK1215" s="81"/>
      <c r="AL1215" s="81"/>
      <c r="AM1215" s="81"/>
    </row>
    <row collapsed="false" customFormat="false" customHeight="true" hidden="false" ht="16.2" outlineLevel="0" r="1216">
      <c r="A1216" s="80"/>
      <c r="B1216" s="81" t="s">
        <v>855</v>
      </c>
      <c r="C1216" s="85"/>
      <c r="D1216" s="85" t="s">
        <v>1054</v>
      </c>
      <c r="E1216" s="83" t="s">
        <v>1037</v>
      </c>
      <c r="F1216" s="49" t="s">
        <v>1036</v>
      </c>
      <c r="G1216" s="85" t="s">
        <v>1039</v>
      </c>
      <c r="H1216" s="85" t="n">
        <v>12</v>
      </c>
      <c r="I1216" s="85" t="s">
        <v>1039</v>
      </c>
      <c r="J1216" s="85" t="n">
        <v>3</v>
      </c>
      <c r="K1216" s="85" t="s">
        <v>1041</v>
      </c>
      <c r="L1216" s="85" t="s">
        <v>1041</v>
      </c>
      <c r="M1216" s="81" t="n">
        <v>3612</v>
      </c>
      <c r="N1216" s="81"/>
      <c r="O1216" s="96"/>
      <c r="P1216" s="81"/>
      <c r="Q1216" s="81"/>
      <c r="R1216" s="81"/>
      <c r="S1216" s="81"/>
      <c r="T1216" s="81"/>
      <c r="U1216" s="81"/>
      <c r="V1216" s="81"/>
      <c r="W1216" s="81"/>
      <c r="X1216" s="81"/>
      <c r="Y1216" s="81"/>
      <c r="Z1216" s="81"/>
      <c r="AA1216" s="81"/>
      <c r="AB1216" s="81"/>
      <c r="AC1216" s="81"/>
      <c r="AD1216" s="81"/>
      <c r="AE1216" s="81"/>
      <c r="AF1216" s="81"/>
      <c r="AG1216" s="81"/>
      <c r="AH1216" s="81"/>
      <c r="AI1216" s="81"/>
      <c r="AJ1216" s="81"/>
      <c r="AK1216" s="81"/>
      <c r="AL1216" s="81"/>
      <c r="AM1216" s="81"/>
    </row>
    <row collapsed="false" customFormat="false" customHeight="true" hidden="false" ht="16.2" outlineLevel="0" r="1217">
      <c r="A1217" s="80" t="n">
        <v>622</v>
      </c>
      <c r="B1217" s="81"/>
      <c r="C1217" s="82" t="s">
        <v>1033</v>
      </c>
      <c r="D1217" s="85"/>
      <c r="E1217" s="83" t="s">
        <v>1035</v>
      </c>
      <c r="F1217" s="49" t="s">
        <v>1036</v>
      </c>
      <c r="G1217" s="85"/>
      <c r="H1217" s="85"/>
      <c r="I1217" s="85"/>
      <c r="J1217" s="85"/>
      <c r="K1217" s="85"/>
      <c r="L1217" s="85"/>
      <c r="M1217" s="81"/>
      <c r="N1217" s="81"/>
      <c r="O1217" s="96"/>
      <c r="P1217" s="81"/>
      <c r="Q1217" s="81"/>
      <c r="R1217" s="81"/>
      <c r="S1217" s="81"/>
      <c r="T1217" s="81"/>
      <c r="U1217" s="81"/>
      <c r="V1217" s="81"/>
      <c r="W1217" s="81"/>
      <c r="X1217" s="81"/>
      <c r="Y1217" s="81"/>
      <c r="Z1217" s="81"/>
      <c r="AA1217" s="81"/>
      <c r="AB1217" s="81"/>
      <c r="AC1217" s="81"/>
      <c r="AD1217" s="81"/>
      <c r="AE1217" s="81"/>
      <c r="AF1217" s="81"/>
      <c r="AG1217" s="81"/>
      <c r="AH1217" s="81"/>
      <c r="AI1217" s="81"/>
      <c r="AJ1217" s="81"/>
      <c r="AK1217" s="81"/>
      <c r="AL1217" s="81"/>
      <c r="AM1217" s="81"/>
    </row>
    <row collapsed="false" customFormat="false" customHeight="true" hidden="false" ht="16.2" outlineLevel="0" r="1218">
      <c r="A1218" s="80"/>
      <c r="B1218" s="81" t="s">
        <v>856</v>
      </c>
      <c r="C1218" s="85"/>
      <c r="D1218" s="85" t="s">
        <v>1054</v>
      </c>
      <c r="E1218" s="83" t="s">
        <v>1037</v>
      </c>
      <c r="F1218" s="49" t="s">
        <v>1036</v>
      </c>
      <c r="G1218" s="85" t="s">
        <v>1039</v>
      </c>
      <c r="H1218" s="85" t="n">
        <v>12</v>
      </c>
      <c r="I1218" s="85" t="s">
        <v>1039</v>
      </c>
      <c r="J1218" s="85" t="n">
        <v>3</v>
      </c>
      <c r="K1218" s="85" t="s">
        <v>1041</v>
      </c>
      <c r="L1218" s="85" t="s">
        <v>1041</v>
      </c>
      <c r="M1218" s="81" t="n">
        <v>366</v>
      </c>
      <c r="N1218" s="81"/>
      <c r="O1218" s="96"/>
      <c r="P1218" s="81"/>
      <c r="Q1218" s="81"/>
      <c r="R1218" s="81"/>
      <c r="S1218" s="81"/>
      <c r="T1218" s="81"/>
      <c r="U1218" s="81"/>
      <c r="V1218" s="81"/>
      <c r="W1218" s="81"/>
      <c r="X1218" s="81"/>
      <c r="Y1218" s="81"/>
      <c r="Z1218" s="81"/>
      <c r="AA1218" s="81"/>
      <c r="AB1218" s="81"/>
      <c r="AC1218" s="81"/>
      <c r="AD1218" s="81"/>
      <c r="AE1218" s="81"/>
      <c r="AF1218" s="81"/>
      <c r="AG1218" s="81"/>
      <c r="AH1218" s="81"/>
      <c r="AI1218" s="81"/>
      <c r="AJ1218" s="81"/>
      <c r="AK1218" s="81"/>
      <c r="AL1218" s="81"/>
      <c r="AM1218" s="81"/>
    </row>
    <row collapsed="false" customFormat="false" customHeight="true" hidden="false" ht="16.2" outlineLevel="0" r="1219">
      <c r="A1219" s="80" t="n">
        <v>623</v>
      </c>
      <c r="B1219" s="81"/>
      <c r="C1219" s="82" t="s">
        <v>1033</v>
      </c>
      <c r="D1219" s="85"/>
      <c r="E1219" s="83" t="s">
        <v>1035</v>
      </c>
      <c r="F1219" s="49" t="s">
        <v>1036</v>
      </c>
      <c r="G1219" s="85"/>
      <c r="H1219" s="85"/>
      <c r="I1219" s="85"/>
      <c r="J1219" s="85"/>
      <c r="K1219" s="85"/>
      <c r="L1219" s="85"/>
      <c r="M1219" s="81"/>
      <c r="N1219" s="81"/>
      <c r="O1219" s="96"/>
      <c r="P1219" s="81"/>
      <c r="Q1219" s="81"/>
      <c r="R1219" s="81"/>
      <c r="S1219" s="81"/>
      <c r="T1219" s="81"/>
      <c r="U1219" s="81"/>
      <c r="V1219" s="81"/>
      <c r="W1219" s="81"/>
      <c r="X1219" s="81"/>
      <c r="Y1219" s="81"/>
      <c r="Z1219" s="81"/>
      <c r="AA1219" s="81"/>
      <c r="AB1219" s="81"/>
      <c r="AC1219" s="81"/>
      <c r="AD1219" s="81"/>
      <c r="AE1219" s="81"/>
      <c r="AF1219" s="81"/>
      <c r="AG1219" s="81"/>
      <c r="AH1219" s="81"/>
      <c r="AI1219" s="81"/>
      <c r="AJ1219" s="81"/>
      <c r="AK1219" s="81"/>
      <c r="AL1219" s="81"/>
      <c r="AM1219" s="81"/>
    </row>
    <row collapsed="false" customFormat="false" customHeight="true" hidden="false" ht="16.2" outlineLevel="0" r="1220">
      <c r="A1220" s="80"/>
      <c r="B1220" s="81" t="s">
        <v>857</v>
      </c>
      <c r="C1220" s="85"/>
      <c r="D1220" s="85" t="s">
        <v>1054</v>
      </c>
      <c r="E1220" s="83" t="s">
        <v>1037</v>
      </c>
      <c r="F1220" s="49" t="s">
        <v>1036</v>
      </c>
      <c r="G1220" s="85" t="s">
        <v>1039</v>
      </c>
      <c r="H1220" s="85" t="n">
        <v>25</v>
      </c>
      <c r="I1220" s="85" t="s">
        <v>1039</v>
      </c>
      <c r="J1220" s="85" t="n">
        <v>6</v>
      </c>
      <c r="K1220" s="85" t="s">
        <v>1041</v>
      </c>
      <c r="L1220" s="85" t="s">
        <v>1041</v>
      </c>
      <c r="M1220" s="81" t="n">
        <v>8148</v>
      </c>
      <c r="N1220" s="81"/>
      <c r="O1220" s="96"/>
      <c r="P1220" s="81"/>
      <c r="Q1220" s="81"/>
      <c r="R1220" s="81"/>
      <c r="S1220" s="81"/>
      <c r="T1220" s="81"/>
      <c r="U1220" s="81"/>
      <c r="V1220" s="81"/>
      <c r="W1220" s="81"/>
      <c r="X1220" s="81"/>
      <c r="Y1220" s="81"/>
      <c r="Z1220" s="81"/>
      <c r="AA1220" s="81"/>
      <c r="AB1220" s="81"/>
      <c r="AC1220" s="81"/>
      <c r="AD1220" s="81"/>
      <c r="AE1220" s="81"/>
      <c r="AF1220" s="81"/>
      <c r="AG1220" s="81"/>
      <c r="AH1220" s="81"/>
      <c r="AI1220" s="81"/>
      <c r="AJ1220" s="81"/>
      <c r="AK1220" s="81"/>
      <c r="AL1220" s="81"/>
      <c r="AM1220" s="81"/>
    </row>
    <row collapsed="false" customFormat="false" customHeight="true" hidden="false" ht="16.2" outlineLevel="0" r="1221">
      <c r="A1221" s="80" t="n">
        <v>624</v>
      </c>
      <c r="B1221" s="81"/>
      <c r="C1221" s="82" t="s">
        <v>1033</v>
      </c>
      <c r="D1221" s="85"/>
      <c r="E1221" s="83" t="s">
        <v>1035</v>
      </c>
      <c r="F1221" s="49" t="s">
        <v>1036</v>
      </c>
      <c r="G1221" s="85"/>
      <c r="H1221" s="85"/>
      <c r="I1221" s="85"/>
      <c r="J1221" s="85"/>
      <c r="K1221" s="85"/>
      <c r="L1221" s="85"/>
      <c r="M1221" s="81"/>
      <c r="N1221" s="81"/>
      <c r="O1221" s="96"/>
      <c r="P1221" s="81"/>
      <c r="Q1221" s="81"/>
      <c r="R1221" s="81"/>
      <c r="S1221" s="81"/>
      <c r="T1221" s="81"/>
      <c r="U1221" s="81"/>
      <c r="V1221" s="81"/>
      <c r="W1221" s="81"/>
      <c r="X1221" s="81"/>
      <c r="Y1221" s="81"/>
      <c r="Z1221" s="81"/>
      <c r="AA1221" s="81"/>
      <c r="AB1221" s="81"/>
      <c r="AC1221" s="81"/>
      <c r="AD1221" s="81"/>
      <c r="AE1221" s="81"/>
      <c r="AF1221" s="81"/>
      <c r="AG1221" s="81"/>
      <c r="AH1221" s="81"/>
      <c r="AI1221" s="81"/>
      <c r="AJ1221" s="81"/>
      <c r="AK1221" s="81"/>
      <c r="AL1221" s="81"/>
      <c r="AM1221" s="81"/>
    </row>
    <row collapsed="false" customFormat="false" customHeight="true" hidden="false" ht="16.2" outlineLevel="0" r="1222">
      <c r="A1222" s="80"/>
      <c r="B1222" s="81" t="s">
        <v>858</v>
      </c>
      <c r="C1222" s="85"/>
      <c r="D1222" s="85" t="s">
        <v>1054</v>
      </c>
      <c r="E1222" s="83" t="s">
        <v>1037</v>
      </c>
      <c r="F1222" s="49" t="s">
        <v>1036</v>
      </c>
      <c r="G1222" s="85" t="s">
        <v>1039</v>
      </c>
      <c r="H1222" s="85" t="n">
        <v>30</v>
      </c>
      <c r="I1222" s="85" t="s">
        <v>1039</v>
      </c>
      <c r="J1222" s="85" t="n">
        <v>6</v>
      </c>
      <c r="K1222" s="85" t="s">
        <v>1041</v>
      </c>
      <c r="L1222" s="85" t="s">
        <v>1041</v>
      </c>
      <c r="M1222" s="81" t="n">
        <v>6990</v>
      </c>
      <c r="N1222" s="81"/>
      <c r="O1222" s="96"/>
      <c r="P1222" s="81"/>
      <c r="Q1222" s="81"/>
      <c r="R1222" s="81"/>
      <c r="S1222" s="81"/>
      <c r="T1222" s="81"/>
      <c r="U1222" s="81"/>
      <c r="V1222" s="81"/>
      <c r="W1222" s="81"/>
      <c r="X1222" s="81"/>
      <c r="Y1222" s="81"/>
      <c r="Z1222" s="81"/>
      <c r="AA1222" s="81"/>
      <c r="AB1222" s="81"/>
      <c r="AC1222" s="81"/>
      <c r="AD1222" s="81"/>
      <c r="AE1222" s="81"/>
      <c r="AF1222" s="81"/>
      <c r="AG1222" s="81"/>
      <c r="AH1222" s="81"/>
      <c r="AI1222" s="81"/>
      <c r="AJ1222" s="81"/>
      <c r="AK1222" s="81"/>
      <c r="AL1222" s="81"/>
      <c r="AM1222" s="81"/>
    </row>
    <row collapsed="false" customFormat="false" customHeight="true" hidden="false" ht="16.2" outlineLevel="0" r="1223">
      <c r="A1223" s="80" t="n">
        <v>625</v>
      </c>
      <c r="B1223" s="81"/>
      <c r="C1223" s="82" t="s">
        <v>1033</v>
      </c>
      <c r="D1223" s="85"/>
      <c r="E1223" s="83" t="s">
        <v>1035</v>
      </c>
      <c r="F1223" s="49" t="s">
        <v>1036</v>
      </c>
      <c r="G1223" s="85"/>
      <c r="H1223" s="85"/>
      <c r="I1223" s="85"/>
      <c r="J1223" s="85"/>
      <c r="K1223" s="85"/>
      <c r="L1223" s="85"/>
      <c r="M1223" s="81"/>
      <c r="N1223" s="81"/>
      <c r="O1223" s="96"/>
      <c r="P1223" s="81"/>
      <c r="Q1223" s="81"/>
      <c r="R1223" s="81"/>
      <c r="S1223" s="81"/>
      <c r="T1223" s="81"/>
      <c r="U1223" s="81"/>
      <c r="V1223" s="81"/>
      <c r="W1223" s="81"/>
      <c r="X1223" s="81"/>
      <c r="Y1223" s="81"/>
      <c r="Z1223" s="81"/>
      <c r="AA1223" s="81"/>
      <c r="AB1223" s="81"/>
      <c r="AC1223" s="81"/>
      <c r="AD1223" s="81"/>
      <c r="AE1223" s="81"/>
      <c r="AF1223" s="81"/>
      <c r="AG1223" s="81"/>
      <c r="AH1223" s="81"/>
      <c r="AI1223" s="81"/>
      <c r="AJ1223" s="81"/>
      <c r="AK1223" s="81"/>
      <c r="AL1223" s="81"/>
      <c r="AM1223" s="81"/>
    </row>
    <row collapsed="false" customFormat="false" customHeight="true" hidden="false" ht="16.2" outlineLevel="0" r="1224">
      <c r="A1224" s="80"/>
      <c r="B1224" s="81" t="s">
        <v>859</v>
      </c>
      <c r="C1224" s="85"/>
      <c r="D1224" s="85" t="s">
        <v>1054</v>
      </c>
      <c r="E1224" s="83" t="s">
        <v>1037</v>
      </c>
      <c r="F1224" s="49" t="s">
        <v>1036</v>
      </c>
      <c r="G1224" s="85" t="s">
        <v>1039</v>
      </c>
      <c r="H1224" s="85" t="n">
        <v>25</v>
      </c>
      <c r="I1224" s="85" t="s">
        <v>1039</v>
      </c>
      <c r="J1224" s="85" t="n">
        <v>5</v>
      </c>
      <c r="K1224" s="85" t="s">
        <v>1041</v>
      </c>
      <c r="L1224" s="85" t="s">
        <v>1041</v>
      </c>
      <c r="M1224" s="81" t="n">
        <v>10626</v>
      </c>
      <c r="N1224" s="81"/>
      <c r="O1224" s="96"/>
      <c r="P1224" s="81"/>
      <c r="Q1224" s="81"/>
      <c r="R1224" s="81"/>
      <c r="S1224" s="81"/>
      <c r="T1224" s="81"/>
      <c r="U1224" s="81"/>
      <c r="V1224" s="81"/>
      <c r="W1224" s="81"/>
      <c r="X1224" s="81"/>
      <c r="Y1224" s="81"/>
      <c r="Z1224" s="81"/>
      <c r="AA1224" s="81"/>
      <c r="AB1224" s="81"/>
      <c r="AC1224" s="81"/>
      <c r="AD1224" s="81"/>
      <c r="AE1224" s="81"/>
      <c r="AF1224" s="81"/>
      <c r="AG1224" s="81"/>
      <c r="AH1224" s="81"/>
      <c r="AI1224" s="81"/>
      <c r="AJ1224" s="81"/>
      <c r="AK1224" s="81"/>
      <c r="AL1224" s="81"/>
      <c r="AM1224" s="81"/>
    </row>
    <row collapsed="false" customFormat="false" customHeight="true" hidden="false" ht="16.2" outlineLevel="0" r="1225">
      <c r="A1225" s="80" t="n">
        <v>626</v>
      </c>
      <c r="B1225" s="81"/>
      <c r="C1225" s="82" t="s">
        <v>1033</v>
      </c>
      <c r="D1225" s="85"/>
      <c r="E1225" s="83" t="s">
        <v>1035</v>
      </c>
      <c r="F1225" s="49" t="s">
        <v>1036</v>
      </c>
      <c r="G1225" s="85"/>
      <c r="H1225" s="85"/>
      <c r="I1225" s="85"/>
      <c r="J1225" s="85"/>
      <c r="K1225" s="85"/>
      <c r="L1225" s="85"/>
      <c r="M1225" s="81"/>
      <c r="N1225" s="81"/>
      <c r="O1225" s="96"/>
      <c r="P1225" s="81"/>
      <c r="Q1225" s="81"/>
      <c r="R1225" s="81"/>
      <c r="S1225" s="81"/>
      <c r="T1225" s="81"/>
      <c r="U1225" s="81"/>
      <c r="V1225" s="81"/>
      <c r="W1225" s="81"/>
      <c r="X1225" s="81"/>
      <c r="Y1225" s="81"/>
      <c r="Z1225" s="81"/>
      <c r="AA1225" s="81"/>
      <c r="AB1225" s="81"/>
      <c r="AC1225" s="81"/>
      <c r="AD1225" s="81"/>
      <c r="AE1225" s="81"/>
      <c r="AF1225" s="81"/>
      <c r="AG1225" s="81"/>
      <c r="AH1225" s="81"/>
      <c r="AI1225" s="81"/>
      <c r="AJ1225" s="81"/>
      <c r="AK1225" s="81"/>
      <c r="AL1225" s="81"/>
      <c r="AM1225" s="81"/>
    </row>
    <row collapsed="false" customFormat="false" customHeight="true" hidden="false" ht="16.2" outlineLevel="0" r="1226">
      <c r="A1226" s="80"/>
      <c r="B1226" s="81" t="s">
        <v>860</v>
      </c>
      <c r="C1226" s="85"/>
      <c r="D1226" s="85" t="s">
        <v>1054</v>
      </c>
      <c r="E1226" s="83" t="s">
        <v>1037</v>
      </c>
      <c r="F1226" s="49" t="s">
        <v>1036</v>
      </c>
      <c r="G1226" s="85" t="s">
        <v>1039</v>
      </c>
      <c r="H1226" s="85" t="n">
        <v>30</v>
      </c>
      <c r="I1226" s="85" t="s">
        <v>1039</v>
      </c>
      <c r="J1226" s="85" t="n">
        <v>6</v>
      </c>
      <c r="K1226" s="85" t="s">
        <v>1041</v>
      </c>
      <c r="L1226" s="85" t="s">
        <v>1041</v>
      </c>
      <c r="M1226" s="81" t="n">
        <v>6708</v>
      </c>
      <c r="N1226" s="81"/>
      <c r="O1226" s="96"/>
      <c r="P1226" s="81"/>
      <c r="Q1226" s="81"/>
      <c r="R1226" s="81"/>
      <c r="S1226" s="81"/>
      <c r="T1226" s="81"/>
      <c r="U1226" s="81"/>
      <c r="V1226" s="81"/>
      <c r="W1226" s="81"/>
      <c r="X1226" s="81"/>
      <c r="Y1226" s="81"/>
      <c r="Z1226" s="81"/>
      <c r="AA1226" s="81"/>
      <c r="AB1226" s="81"/>
      <c r="AC1226" s="81"/>
      <c r="AD1226" s="81"/>
      <c r="AE1226" s="81"/>
      <c r="AF1226" s="81"/>
      <c r="AG1226" s="81"/>
      <c r="AH1226" s="81"/>
      <c r="AI1226" s="81"/>
      <c r="AJ1226" s="81"/>
      <c r="AK1226" s="81"/>
      <c r="AL1226" s="81"/>
      <c r="AM1226" s="81"/>
    </row>
    <row collapsed="false" customFormat="false" customHeight="true" hidden="false" ht="16.2" outlineLevel="0" r="1227">
      <c r="A1227" s="80" t="n">
        <v>627</v>
      </c>
      <c r="B1227" s="81"/>
      <c r="C1227" s="82" t="s">
        <v>1033</v>
      </c>
      <c r="D1227" s="85"/>
      <c r="E1227" s="83" t="s">
        <v>1035</v>
      </c>
      <c r="F1227" s="49" t="s">
        <v>1036</v>
      </c>
      <c r="G1227" s="85"/>
      <c r="H1227" s="85"/>
      <c r="I1227" s="85"/>
      <c r="J1227" s="85"/>
      <c r="K1227" s="85"/>
      <c r="L1227" s="85"/>
      <c r="M1227" s="81"/>
      <c r="N1227" s="81"/>
      <c r="O1227" s="96"/>
      <c r="P1227" s="81"/>
      <c r="Q1227" s="81"/>
      <c r="R1227" s="81"/>
      <c r="S1227" s="81"/>
      <c r="T1227" s="81"/>
      <c r="U1227" s="81"/>
      <c r="V1227" s="81"/>
      <c r="W1227" s="81"/>
      <c r="X1227" s="81"/>
      <c r="Y1227" s="81"/>
      <c r="Z1227" s="81"/>
      <c r="AA1227" s="81"/>
      <c r="AB1227" s="81"/>
      <c r="AC1227" s="81"/>
      <c r="AD1227" s="81"/>
      <c r="AE1227" s="81"/>
      <c r="AF1227" s="81"/>
      <c r="AG1227" s="81"/>
      <c r="AH1227" s="81"/>
      <c r="AI1227" s="81"/>
      <c r="AJ1227" s="81"/>
      <c r="AK1227" s="81"/>
      <c r="AL1227" s="81"/>
      <c r="AM1227" s="81"/>
    </row>
    <row collapsed="false" customFormat="false" customHeight="true" hidden="false" ht="16.2" outlineLevel="0" r="1228">
      <c r="A1228" s="80"/>
      <c r="B1228" s="81" t="s">
        <v>861</v>
      </c>
      <c r="C1228" s="85"/>
      <c r="D1228" s="85" t="s">
        <v>1054</v>
      </c>
      <c r="E1228" s="83" t="s">
        <v>1037</v>
      </c>
      <c r="F1228" s="49" t="s">
        <v>1036</v>
      </c>
      <c r="G1228" s="85" t="s">
        <v>1039</v>
      </c>
      <c r="H1228" s="85" t="n">
        <v>25</v>
      </c>
      <c r="I1228" s="85" t="s">
        <v>1039</v>
      </c>
      <c r="J1228" s="85" t="n">
        <v>5</v>
      </c>
      <c r="K1228" s="85" t="s">
        <v>1041</v>
      </c>
      <c r="L1228" s="85" t="s">
        <v>1041</v>
      </c>
      <c r="M1228" s="81" t="n">
        <v>12240</v>
      </c>
      <c r="N1228" s="81"/>
      <c r="O1228" s="96"/>
      <c r="P1228" s="81"/>
      <c r="Q1228" s="81"/>
      <c r="R1228" s="81"/>
      <c r="S1228" s="81"/>
      <c r="T1228" s="81"/>
      <c r="U1228" s="81"/>
      <c r="V1228" s="81"/>
      <c r="W1228" s="81"/>
      <c r="X1228" s="81"/>
      <c r="Y1228" s="81"/>
      <c r="Z1228" s="81"/>
      <c r="AA1228" s="81"/>
      <c r="AB1228" s="81"/>
      <c r="AC1228" s="81"/>
      <c r="AD1228" s="81"/>
      <c r="AE1228" s="81"/>
      <c r="AF1228" s="81"/>
      <c r="AG1228" s="81"/>
      <c r="AH1228" s="81"/>
      <c r="AI1228" s="81"/>
      <c r="AJ1228" s="81"/>
      <c r="AK1228" s="81"/>
      <c r="AL1228" s="81"/>
      <c r="AM1228" s="81"/>
    </row>
    <row collapsed="false" customFormat="false" customHeight="true" hidden="false" ht="16.2" outlineLevel="0" r="1229">
      <c r="A1229" s="80" t="n">
        <v>628</v>
      </c>
      <c r="B1229" s="81"/>
      <c r="C1229" s="82" t="s">
        <v>1033</v>
      </c>
      <c r="D1229" s="85"/>
      <c r="E1229" s="83" t="s">
        <v>1035</v>
      </c>
      <c r="F1229" s="49" t="s">
        <v>1036</v>
      </c>
      <c r="G1229" s="85"/>
      <c r="H1229" s="85"/>
      <c r="I1229" s="85"/>
      <c r="J1229" s="85"/>
      <c r="K1229" s="85"/>
      <c r="L1229" s="85"/>
      <c r="M1229" s="81"/>
      <c r="N1229" s="81"/>
      <c r="O1229" s="96"/>
      <c r="P1229" s="81"/>
      <c r="Q1229" s="81"/>
      <c r="R1229" s="81"/>
      <c r="S1229" s="81"/>
      <c r="T1229" s="81"/>
      <c r="U1229" s="81"/>
      <c r="V1229" s="81"/>
      <c r="W1229" s="81"/>
      <c r="X1229" s="81"/>
      <c r="Y1229" s="81"/>
      <c r="Z1229" s="81"/>
      <c r="AA1229" s="81"/>
      <c r="AB1229" s="81"/>
      <c r="AC1229" s="81"/>
      <c r="AD1229" s="81"/>
      <c r="AE1229" s="81"/>
      <c r="AF1229" s="81"/>
      <c r="AG1229" s="81"/>
      <c r="AH1229" s="81"/>
      <c r="AI1229" s="81"/>
      <c r="AJ1229" s="81"/>
      <c r="AK1229" s="81"/>
      <c r="AL1229" s="81"/>
      <c r="AM1229" s="81"/>
    </row>
    <row collapsed="false" customFormat="false" customHeight="true" hidden="false" ht="16.2" outlineLevel="0" r="1230">
      <c r="A1230" s="80"/>
      <c r="B1230" s="81" t="s">
        <v>863</v>
      </c>
      <c r="C1230" s="85"/>
      <c r="D1230" s="85" t="s">
        <v>1054</v>
      </c>
      <c r="E1230" s="83" t="s">
        <v>1037</v>
      </c>
      <c r="F1230" s="49" t="s">
        <v>1036</v>
      </c>
      <c r="G1230" s="85" t="s">
        <v>1059</v>
      </c>
      <c r="H1230" s="85" t="n">
        <v>80</v>
      </c>
      <c r="I1230" s="85" t="s">
        <v>1059</v>
      </c>
      <c r="J1230" s="85" t="n">
        <v>6</v>
      </c>
      <c r="K1230" s="85" t="s">
        <v>1041</v>
      </c>
      <c r="L1230" s="85" t="s">
        <v>1041</v>
      </c>
      <c r="M1230" s="81" t="n">
        <v>9048</v>
      </c>
      <c r="N1230" s="81"/>
      <c r="O1230" s="96"/>
      <c r="P1230" s="81"/>
      <c r="Q1230" s="81"/>
      <c r="R1230" s="81"/>
      <c r="S1230" s="81"/>
      <c r="T1230" s="81"/>
      <c r="U1230" s="81"/>
      <c r="V1230" s="81"/>
      <c r="W1230" s="81"/>
      <c r="X1230" s="81"/>
      <c r="Y1230" s="81"/>
      <c r="Z1230" s="81"/>
      <c r="AA1230" s="81"/>
      <c r="AB1230" s="81"/>
      <c r="AC1230" s="81"/>
      <c r="AD1230" s="81"/>
      <c r="AE1230" s="81"/>
      <c r="AF1230" s="81"/>
      <c r="AG1230" s="81"/>
      <c r="AH1230" s="81"/>
      <c r="AI1230" s="81"/>
      <c r="AJ1230" s="81"/>
      <c r="AK1230" s="81"/>
      <c r="AL1230" s="81"/>
      <c r="AM1230" s="81"/>
    </row>
    <row collapsed="false" customFormat="false" customHeight="true" hidden="false" ht="16.2" outlineLevel="0" r="1231">
      <c r="A1231" s="80" t="n">
        <v>629</v>
      </c>
      <c r="B1231" s="81"/>
      <c r="C1231" s="82" t="s">
        <v>1033</v>
      </c>
      <c r="D1231" s="85"/>
      <c r="E1231" s="83" t="s">
        <v>1035</v>
      </c>
      <c r="F1231" s="49" t="s">
        <v>1036</v>
      </c>
      <c r="G1231" s="85"/>
      <c r="H1231" s="85"/>
      <c r="I1231" s="85"/>
      <c r="J1231" s="85"/>
      <c r="K1231" s="85"/>
      <c r="L1231" s="85"/>
      <c r="M1231" s="81"/>
      <c r="N1231" s="81"/>
      <c r="O1231" s="96"/>
      <c r="P1231" s="81"/>
      <c r="Q1231" s="81"/>
      <c r="R1231" s="81"/>
      <c r="S1231" s="81"/>
      <c r="T1231" s="81"/>
      <c r="U1231" s="81"/>
      <c r="V1231" s="81"/>
      <c r="W1231" s="81"/>
      <c r="X1231" s="81"/>
      <c r="Y1231" s="81"/>
      <c r="Z1231" s="81"/>
      <c r="AA1231" s="81"/>
      <c r="AB1231" s="81"/>
      <c r="AC1231" s="81"/>
      <c r="AD1231" s="81"/>
      <c r="AE1231" s="81"/>
      <c r="AF1231" s="81"/>
      <c r="AG1231" s="81"/>
      <c r="AH1231" s="81"/>
      <c r="AI1231" s="81"/>
      <c r="AJ1231" s="81"/>
      <c r="AK1231" s="81"/>
      <c r="AL1231" s="81"/>
      <c r="AM1231" s="81"/>
    </row>
    <row collapsed="false" customFormat="false" customHeight="true" hidden="false" ht="16.2" outlineLevel="0" r="1232">
      <c r="A1232" s="80"/>
      <c r="B1232" s="81" t="s">
        <v>864</v>
      </c>
      <c r="C1232" s="85"/>
      <c r="D1232" s="85" t="s">
        <v>1054</v>
      </c>
      <c r="E1232" s="83" t="s">
        <v>1037</v>
      </c>
      <c r="F1232" s="49" t="s">
        <v>1036</v>
      </c>
      <c r="G1232" s="85" t="s">
        <v>1059</v>
      </c>
      <c r="H1232" s="85" t="n">
        <v>40</v>
      </c>
      <c r="I1232" s="85" t="s">
        <v>1059</v>
      </c>
      <c r="J1232" s="85" t="n">
        <v>5</v>
      </c>
      <c r="K1232" s="85" t="s">
        <v>1041</v>
      </c>
      <c r="L1232" s="85" t="s">
        <v>1041</v>
      </c>
      <c r="M1232" s="81" t="n">
        <v>4326</v>
      </c>
      <c r="N1232" s="81"/>
      <c r="O1232" s="96"/>
      <c r="P1232" s="81"/>
      <c r="Q1232" s="81"/>
      <c r="R1232" s="81"/>
      <c r="S1232" s="81"/>
      <c r="T1232" s="81"/>
      <c r="U1232" s="81"/>
      <c r="V1232" s="81"/>
      <c r="W1232" s="81"/>
      <c r="X1232" s="81"/>
      <c r="Y1232" s="81"/>
      <c r="Z1232" s="81"/>
      <c r="AA1232" s="81"/>
      <c r="AB1232" s="81"/>
      <c r="AC1232" s="81"/>
      <c r="AD1232" s="81"/>
      <c r="AE1232" s="81"/>
      <c r="AF1232" s="81"/>
      <c r="AG1232" s="81"/>
      <c r="AH1232" s="81"/>
      <c r="AI1232" s="81"/>
      <c r="AJ1232" s="81"/>
      <c r="AK1232" s="81"/>
      <c r="AL1232" s="81"/>
      <c r="AM1232" s="81"/>
    </row>
    <row collapsed="false" customFormat="false" customHeight="true" hidden="false" ht="16.2" outlineLevel="0" r="1233">
      <c r="A1233" s="80" t="n">
        <v>630</v>
      </c>
      <c r="B1233" s="81"/>
      <c r="C1233" s="82" t="s">
        <v>1033</v>
      </c>
      <c r="D1233" s="85"/>
      <c r="E1233" s="83" t="s">
        <v>1035</v>
      </c>
      <c r="F1233" s="49" t="s">
        <v>1036</v>
      </c>
      <c r="G1233" s="85"/>
      <c r="H1233" s="85"/>
      <c r="I1233" s="85"/>
      <c r="J1233" s="85"/>
      <c r="K1233" s="85"/>
      <c r="L1233" s="85"/>
      <c r="M1233" s="81"/>
      <c r="N1233" s="81"/>
      <c r="O1233" s="96"/>
      <c r="P1233" s="81"/>
      <c r="Q1233" s="81"/>
      <c r="R1233" s="81"/>
      <c r="S1233" s="81"/>
      <c r="T1233" s="81"/>
      <c r="U1233" s="81"/>
      <c r="V1233" s="81"/>
      <c r="W1233" s="81"/>
      <c r="X1233" s="81"/>
      <c r="Y1233" s="81"/>
      <c r="Z1233" s="81"/>
      <c r="AA1233" s="81"/>
      <c r="AB1233" s="81"/>
      <c r="AC1233" s="81"/>
      <c r="AD1233" s="81"/>
      <c r="AE1233" s="81"/>
      <c r="AF1233" s="81"/>
      <c r="AG1233" s="81"/>
      <c r="AH1233" s="81"/>
      <c r="AI1233" s="81"/>
      <c r="AJ1233" s="81"/>
      <c r="AK1233" s="81"/>
      <c r="AL1233" s="81"/>
      <c r="AM1233" s="81"/>
    </row>
    <row collapsed="false" customFormat="false" customHeight="true" hidden="false" ht="16.2" outlineLevel="0" r="1234">
      <c r="A1234" s="80"/>
      <c r="B1234" s="81" t="s">
        <v>865</v>
      </c>
      <c r="C1234" s="85"/>
      <c r="D1234" s="85" t="s">
        <v>1054</v>
      </c>
      <c r="E1234" s="83" t="s">
        <v>1037</v>
      </c>
      <c r="F1234" s="49" t="s">
        <v>1036</v>
      </c>
      <c r="G1234" s="85" t="s">
        <v>1059</v>
      </c>
      <c r="H1234" s="85" t="n">
        <v>50</v>
      </c>
      <c r="I1234" s="85" t="s">
        <v>1059</v>
      </c>
      <c r="J1234" s="85" t="n">
        <v>5</v>
      </c>
      <c r="K1234" s="85" t="s">
        <v>1041</v>
      </c>
      <c r="L1234" s="85" t="s">
        <v>1041</v>
      </c>
      <c r="M1234" s="81" t="n">
        <v>3144</v>
      </c>
      <c r="N1234" s="81"/>
      <c r="O1234" s="96"/>
      <c r="P1234" s="81"/>
      <c r="Q1234" s="81"/>
      <c r="R1234" s="81"/>
      <c r="S1234" s="81"/>
      <c r="T1234" s="81"/>
      <c r="U1234" s="81"/>
      <c r="V1234" s="81"/>
      <c r="W1234" s="81"/>
      <c r="X1234" s="81"/>
      <c r="Y1234" s="81"/>
      <c r="Z1234" s="81"/>
      <c r="AA1234" s="81"/>
      <c r="AB1234" s="81"/>
      <c r="AC1234" s="81"/>
      <c r="AD1234" s="81"/>
      <c r="AE1234" s="81"/>
      <c r="AF1234" s="81"/>
      <c r="AG1234" s="81"/>
      <c r="AH1234" s="81"/>
      <c r="AI1234" s="81"/>
      <c r="AJ1234" s="81"/>
      <c r="AK1234" s="81"/>
      <c r="AL1234" s="81"/>
      <c r="AM1234" s="81"/>
    </row>
    <row collapsed="false" customFormat="false" customHeight="true" hidden="false" ht="16.2" outlineLevel="0" r="1235">
      <c r="A1235" s="80" t="n">
        <v>631</v>
      </c>
      <c r="B1235" s="81"/>
      <c r="C1235" s="82" t="s">
        <v>1033</v>
      </c>
      <c r="D1235" s="85"/>
      <c r="E1235" s="83" t="s">
        <v>1035</v>
      </c>
      <c r="F1235" s="49" t="s">
        <v>1036</v>
      </c>
      <c r="G1235" s="85"/>
      <c r="H1235" s="85"/>
      <c r="I1235" s="85"/>
      <c r="J1235" s="85"/>
      <c r="K1235" s="85"/>
      <c r="L1235" s="85"/>
      <c r="M1235" s="81"/>
      <c r="N1235" s="81"/>
      <c r="O1235" s="96"/>
      <c r="P1235" s="81"/>
      <c r="Q1235" s="81"/>
      <c r="R1235" s="81"/>
      <c r="S1235" s="81"/>
      <c r="T1235" s="81"/>
      <c r="U1235" s="81"/>
      <c r="V1235" s="81"/>
      <c r="W1235" s="81"/>
      <c r="X1235" s="81"/>
      <c r="Y1235" s="81"/>
      <c r="Z1235" s="81"/>
      <c r="AA1235" s="81"/>
      <c r="AB1235" s="81"/>
      <c r="AC1235" s="81"/>
      <c r="AD1235" s="81"/>
      <c r="AE1235" s="81"/>
      <c r="AF1235" s="81"/>
      <c r="AG1235" s="81"/>
      <c r="AH1235" s="81"/>
      <c r="AI1235" s="81"/>
      <c r="AJ1235" s="81"/>
      <c r="AK1235" s="81"/>
      <c r="AL1235" s="81"/>
      <c r="AM1235" s="81"/>
    </row>
    <row collapsed="false" customFormat="false" customHeight="true" hidden="false" ht="16.2" outlineLevel="0" r="1236">
      <c r="A1236" s="80"/>
      <c r="B1236" s="81" t="s">
        <v>866</v>
      </c>
      <c r="C1236" s="85"/>
      <c r="D1236" s="85" t="s">
        <v>1054</v>
      </c>
      <c r="E1236" s="83" t="s">
        <v>1037</v>
      </c>
      <c r="F1236" s="49" t="s">
        <v>1036</v>
      </c>
      <c r="G1236" s="85" t="s">
        <v>1059</v>
      </c>
      <c r="H1236" s="85" t="n">
        <v>50</v>
      </c>
      <c r="I1236" s="85" t="s">
        <v>1059</v>
      </c>
      <c r="J1236" s="85" t="n">
        <v>6</v>
      </c>
      <c r="K1236" s="85" t="s">
        <v>1041</v>
      </c>
      <c r="L1236" s="85" t="s">
        <v>1041</v>
      </c>
      <c r="M1236" s="85"/>
      <c r="N1236" s="85"/>
      <c r="O1236" s="114"/>
      <c r="P1236" s="85"/>
      <c r="Q1236" s="85"/>
      <c r="R1236" s="85"/>
      <c r="S1236" s="85"/>
      <c r="T1236" s="85"/>
      <c r="U1236" s="85"/>
      <c r="V1236" s="85"/>
      <c r="W1236" s="85"/>
      <c r="X1236" s="85"/>
      <c r="Y1236" s="85"/>
      <c r="Z1236" s="85"/>
      <c r="AA1236" s="85"/>
      <c r="AB1236" s="85"/>
      <c r="AC1236" s="85"/>
      <c r="AD1236" s="85"/>
      <c r="AE1236" s="85"/>
      <c r="AF1236" s="85"/>
      <c r="AG1236" s="85"/>
      <c r="AH1236" s="85"/>
      <c r="AI1236" s="85"/>
      <c r="AJ1236" s="85"/>
      <c r="AK1236" s="85"/>
      <c r="AL1236" s="85"/>
      <c r="AM1236" s="85"/>
    </row>
    <row collapsed="false" customFormat="false" customHeight="true" hidden="false" ht="16.2" outlineLevel="0" r="1237">
      <c r="A1237" s="85"/>
      <c r="B1237" s="85"/>
      <c r="C1237" s="85"/>
      <c r="D1237" s="85"/>
      <c r="E1237" s="85"/>
      <c r="F1237" s="85"/>
      <c r="G1237" s="85"/>
      <c r="H1237" s="85"/>
      <c r="I1237" s="81"/>
      <c r="J1237" s="85"/>
      <c r="K1237" s="85"/>
      <c r="L1237" s="85"/>
      <c r="M1237" s="85"/>
      <c r="N1237" s="85"/>
      <c r="O1237" s="85"/>
      <c r="P1237" s="85"/>
      <c r="Q1237" s="85"/>
      <c r="R1237" s="85"/>
      <c r="S1237" s="85"/>
      <c r="T1237" s="85"/>
      <c r="U1237" s="85"/>
      <c r="V1237" s="85"/>
      <c r="W1237" s="85"/>
      <c r="X1237" s="85"/>
      <c r="Y1237" s="85"/>
      <c r="Z1237" s="85"/>
      <c r="AA1237" s="85"/>
      <c r="AB1237" s="85"/>
      <c r="AC1237" s="85"/>
      <c r="AD1237" s="85"/>
      <c r="AE1237" s="85"/>
      <c r="AF1237" s="85"/>
      <c r="AG1237" s="85"/>
      <c r="AH1237" s="85"/>
      <c r="AI1237" s="85"/>
      <c r="AJ1237" s="85"/>
      <c r="AK1237" s="85"/>
      <c r="AL1237" s="85"/>
      <c r="AM1237" s="85"/>
    </row>
    <row collapsed="false" customFormat="false" customHeight="true" hidden="false" ht="16.2" outlineLevel="0" r="1238">
      <c r="A1238" s="85"/>
      <c r="B1238" s="85"/>
      <c r="C1238" s="85"/>
      <c r="D1238" s="85"/>
      <c r="E1238" s="85"/>
      <c r="F1238" s="85"/>
      <c r="G1238" s="85"/>
      <c r="H1238" s="85"/>
      <c r="I1238" s="85"/>
      <c r="J1238" s="85"/>
      <c r="K1238" s="85"/>
      <c r="L1238" s="85"/>
      <c r="M1238" s="85"/>
      <c r="N1238" s="85"/>
      <c r="O1238" s="85"/>
      <c r="P1238" s="85"/>
      <c r="Q1238" s="85"/>
      <c r="R1238" s="85"/>
      <c r="S1238" s="85"/>
      <c r="T1238" s="85"/>
      <c r="U1238" s="85"/>
      <c r="V1238" s="85"/>
      <c r="W1238" s="85"/>
      <c r="X1238" s="85"/>
      <c r="Y1238" s="85"/>
      <c r="Z1238" s="85"/>
      <c r="AA1238" s="85"/>
      <c r="AB1238" s="85"/>
      <c r="AC1238" s="85"/>
      <c r="AD1238" s="85"/>
      <c r="AE1238" s="85"/>
      <c r="AF1238" s="85"/>
      <c r="AG1238" s="85"/>
      <c r="AH1238" s="85"/>
      <c r="AI1238" s="85"/>
      <c r="AJ1238" s="85"/>
      <c r="AK1238" s="85"/>
      <c r="AL1238" s="85"/>
      <c r="AM1238" s="85"/>
    </row>
    <row collapsed="false" customFormat="false" customHeight="true" hidden="false" ht="16.2" outlineLevel="0" r="1239">
      <c r="A1239" s="85"/>
      <c r="B1239" s="85"/>
      <c r="C1239" s="85"/>
      <c r="D1239" s="85"/>
      <c r="E1239" s="85"/>
      <c r="F1239" s="85"/>
      <c r="G1239" s="85"/>
      <c r="H1239" s="85"/>
      <c r="I1239" s="85"/>
      <c r="J1239" s="85"/>
      <c r="K1239" s="85"/>
      <c r="L1239" s="85"/>
      <c r="M1239" s="85"/>
      <c r="N1239" s="85"/>
      <c r="O1239" s="85"/>
      <c r="P1239" s="85"/>
      <c r="Q1239" s="85"/>
      <c r="R1239" s="85"/>
      <c r="S1239" s="85"/>
      <c r="T1239" s="85"/>
      <c r="U1239" s="85"/>
      <c r="V1239" s="85"/>
      <c r="W1239" s="85"/>
      <c r="X1239" s="85"/>
      <c r="Y1239" s="85"/>
      <c r="Z1239" s="85"/>
      <c r="AA1239" s="85"/>
      <c r="AB1239" s="85"/>
      <c r="AC1239" s="85"/>
      <c r="AD1239" s="85"/>
      <c r="AE1239" s="85"/>
      <c r="AF1239" s="85"/>
      <c r="AG1239" s="85"/>
      <c r="AH1239" s="85"/>
      <c r="AI1239" s="85"/>
      <c r="AJ1239" s="85"/>
      <c r="AK1239" s="85"/>
      <c r="AL1239" s="85"/>
      <c r="AM1239" s="85"/>
    </row>
    <row collapsed="false" customFormat="false" customHeight="true" hidden="false" ht="16.2" outlineLevel="0" r="1240">
      <c r="A1240" s="85"/>
      <c r="B1240" s="85"/>
      <c r="C1240" s="85"/>
      <c r="D1240" s="85"/>
      <c r="E1240" s="85"/>
      <c r="F1240" s="85"/>
      <c r="G1240" s="85"/>
      <c r="H1240" s="85"/>
      <c r="I1240" s="85"/>
      <c r="J1240" s="85"/>
      <c r="K1240" s="85"/>
      <c r="L1240" s="85"/>
      <c r="M1240" s="85"/>
      <c r="N1240" s="85"/>
      <c r="O1240" s="85"/>
      <c r="P1240" s="85"/>
      <c r="Q1240" s="85"/>
      <c r="R1240" s="85"/>
      <c r="S1240" s="85"/>
      <c r="T1240" s="85"/>
      <c r="U1240" s="85"/>
      <c r="V1240" s="85"/>
      <c r="W1240" s="85"/>
      <c r="X1240" s="85"/>
      <c r="Y1240" s="85"/>
      <c r="Z1240" s="85"/>
      <c r="AA1240" s="85"/>
      <c r="AB1240" s="85"/>
      <c r="AC1240" s="85"/>
      <c r="AD1240" s="85"/>
      <c r="AE1240" s="85"/>
      <c r="AF1240" s="85"/>
      <c r="AG1240" s="85"/>
      <c r="AH1240" s="85"/>
      <c r="AI1240" s="85"/>
      <c r="AJ1240" s="85"/>
      <c r="AK1240" s="85"/>
      <c r="AL1240" s="85"/>
      <c r="AM1240" s="85"/>
    </row>
    <row collapsed="false" customFormat="false" customHeight="true" hidden="false" ht="16.2" outlineLevel="0" r="1241">
      <c r="A1241" s="85"/>
      <c r="B1241" s="85"/>
      <c r="C1241" s="85"/>
      <c r="D1241" s="85"/>
      <c r="E1241" s="85"/>
      <c r="F1241" s="85"/>
      <c r="G1241" s="85"/>
      <c r="H1241" s="85"/>
      <c r="I1241" s="85"/>
      <c r="J1241" s="85"/>
      <c r="K1241" s="85"/>
      <c r="L1241" s="85"/>
      <c r="M1241" s="85"/>
      <c r="N1241" s="85"/>
      <c r="O1241" s="85"/>
      <c r="P1241" s="85"/>
      <c r="Q1241" s="85"/>
      <c r="R1241" s="85"/>
      <c r="S1241" s="85"/>
      <c r="T1241" s="85"/>
      <c r="U1241" s="85"/>
      <c r="V1241" s="85"/>
      <c r="W1241" s="85"/>
      <c r="X1241" s="85"/>
      <c r="Y1241" s="85"/>
      <c r="Z1241" s="85"/>
      <c r="AA1241" s="85"/>
      <c r="AB1241" s="85"/>
      <c r="AC1241" s="85"/>
      <c r="AD1241" s="85"/>
      <c r="AE1241" s="85"/>
      <c r="AF1241" s="85"/>
      <c r="AG1241" s="85"/>
      <c r="AH1241" s="85"/>
      <c r="AI1241" s="85"/>
      <c r="AJ1241" s="85"/>
      <c r="AK1241" s="85"/>
      <c r="AL1241" s="85"/>
      <c r="AM1241" s="85"/>
    </row>
    <row collapsed="false" customFormat="false" customHeight="true" hidden="false" ht="16.2" outlineLevel="0" r="1242">
      <c r="A1242" s="85"/>
      <c r="B1242" s="85"/>
      <c r="C1242" s="85"/>
      <c r="D1242" s="85"/>
      <c r="E1242" s="85"/>
      <c r="F1242" s="85"/>
      <c r="G1242" s="85"/>
      <c r="H1242" s="85"/>
      <c r="I1242" s="85"/>
      <c r="J1242" s="85"/>
      <c r="K1242" s="85"/>
      <c r="L1242" s="85"/>
      <c r="M1242" s="85"/>
      <c r="N1242" s="85"/>
      <c r="O1242" s="85"/>
      <c r="P1242" s="85"/>
      <c r="Q1242" s="85"/>
      <c r="R1242" s="85"/>
      <c r="S1242" s="85"/>
      <c r="T1242" s="85"/>
      <c r="U1242" s="85"/>
      <c r="V1242" s="85"/>
      <c r="W1242" s="85"/>
      <c r="X1242" s="85"/>
      <c r="Y1242" s="85"/>
      <c r="Z1242" s="85"/>
      <c r="AA1242" s="85"/>
      <c r="AB1242" s="85"/>
      <c r="AC1242" s="85"/>
      <c r="AD1242" s="85"/>
      <c r="AE1242" s="85"/>
      <c r="AF1242" s="85"/>
      <c r="AG1242" s="85"/>
      <c r="AH1242" s="85"/>
      <c r="AI1242" s="85"/>
      <c r="AJ1242" s="85"/>
      <c r="AK1242" s="85"/>
      <c r="AL1242" s="85"/>
      <c r="AM1242" s="85"/>
    </row>
    <row collapsed="false" customFormat="false" customHeight="true" hidden="false" ht="16.2" outlineLevel="0" r="1243">
      <c r="A1243" s="85"/>
      <c r="B1243" s="85"/>
      <c r="C1243" s="85"/>
      <c r="D1243" s="85"/>
      <c r="E1243" s="85"/>
      <c r="F1243" s="85"/>
      <c r="G1243" s="85"/>
      <c r="H1243" s="85"/>
      <c r="I1243" s="85"/>
      <c r="J1243" s="85"/>
      <c r="K1243" s="85"/>
      <c r="L1243" s="85"/>
      <c r="M1243" s="85"/>
      <c r="N1243" s="85"/>
      <c r="O1243" s="85"/>
      <c r="P1243" s="85"/>
      <c r="Q1243" s="85"/>
      <c r="R1243" s="85"/>
      <c r="S1243" s="85"/>
      <c r="T1243" s="85"/>
      <c r="U1243" s="85"/>
      <c r="V1243" s="85"/>
      <c r="W1243" s="85"/>
      <c r="X1243" s="85"/>
      <c r="Y1243" s="85"/>
      <c r="Z1243" s="85"/>
      <c r="AA1243" s="85"/>
      <c r="AB1243" s="85"/>
      <c r="AC1243" s="85"/>
      <c r="AD1243" s="85"/>
      <c r="AE1243" s="85"/>
      <c r="AF1243" s="85"/>
      <c r="AG1243" s="85"/>
      <c r="AH1243" s="85"/>
      <c r="AI1243" s="85"/>
      <c r="AJ1243" s="85"/>
      <c r="AK1243" s="85"/>
      <c r="AL1243" s="85"/>
      <c r="AM1243" s="85"/>
    </row>
    <row collapsed="false" customFormat="false" customHeight="true" hidden="false" ht="16.2" outlineLevel="0" r="1244">
      <c r="A1244" s="85"/>
      <c r="B1244" s="85"/>
      <c r="C1244" s="85"/>
      <c r="D1244" s="85"/>
      <c r="E1244" s="85"/>
      <c r="F1244" s="85"/>
      <c r="G1244" s="85"/>
      <c r="H1244" s="85"/>
      <c r="I1244" s="85"/>
      <c r="J1244" s="85"/>
      <c r="K1244" s="85"/>
      <c r="L1244" s="85"/>
      <c r="M1244" s="85"/>
      <c r="N1244" s="85"/>
      <c r="O1244" s="85"/>
      <c r="P1244" s="85"/>
      <c r="Q1244" s="85"/>
      <c r="R1244" s="85"/>
      <c r="S1244" s="85"/>
      <c r="T1244" s="85"/>
      <c r="U1244" s="85"/>
      <c r="V1244" s="85"/>
      <c r="W1244" s="85"/>
      <c r="X1244" s="85"/>
      <c r="Y1244" s="85"/>
      <c r="Z1244" s="85"/>
      <c r="AA1244" s="85"/>
      <c r="AB1244" s="85"/>
      <c r="AC1244" s="85"/>
      <c r="AD1244" s="85"/>
      <c r="AE1244" s="85"/>
      <c r="AF1244" s="85"/>
      <c r="AG1244" s="85"/>
      <c r="AH1244" s="85"/>
      <c r="AI1244" s="85"/>
      <c r="AJ1244" s="85"/>
      <c r="AK1244" s="85"/>
      <c r="AL1244" s="85"/>
      <c r="AM1244" s="85"/>
    </row>
    <row collapsed="false" customFormat="false" customHeight="true" hidden="false" ht="16.2" outlineLevel="0" r="1245">
      <c r="A1245" s="85"/>
      <c r="B1245" s="85"/>
      <c r="C1245" s="85"/>
      <c r="D1245" s="85"/>
      <c r="E1245" s="85"/>
      <c r="F1245" s="85"/>
      <c r="G1245" s="85"/>
      <c r="H1245" s="85"/>
      <c r="I1245" s="85"/>
      <c r="J1245" s="85"/>
      <c r="K1245" s="85"/>
      <c r="L1245" s="85"/>
      <c r="M1245" s="85"/>
      <c r="N1245" s="85"/>
      <c r="O1245" s="85"/>
      <c r="P1245" s="85"/>
      <c r="Q1245" s="85"/>
      <c r="R1245" s="85"/>
      <c r="S1245" s="85"/>
      <c r="T1245" s="85"/>
      <c r="U1245" s="85"/>
      <c r="V1245" s="85"/>
      <c r="W1245" s="85"/>
      <c r="X1245" s="85"/>
      <c r="Y1245" s="85"/>
      <c r="Z1245" s="85"/>
      <c r="AA1245" s="85"/>
      <c r="AB1245" s="85"/>
      <c r="AC1245" s="85"/>
      <c r="AD1245" s="85"/>
      <c r="AE1245" s="85"/>
      <c r="AF1245" s="85"/>
      <c r="AG1245" s="85"/>
      <c r="AH1245" s="85"/>
      <c r="AI1245" s="85"/>
      <c r="AJ1245" s="85"/>
      <c r="AK1245" s="85"/>
      <c r="AL1245" s="85"/>
      <c r="AM1245" s="85"/>
    </row>
    <row collapsed="false" customFormat="false" customHeight="true" hidden="false" ht="16.2" outlineLevel="0" r="1246">
      <c r="A1246" s="85"/>
      <c r="B1246" s="85"/>
      <c r="C1246" s="85"/>
      <c r="D1246" s="85"/>
      <c r="E1246" s="85"/>
      <c r="F1246" s="85"/>
      <c r="G1246" s="85"/>
      <c r="H1246" s="85"/>
      <c r="I1246" s="85"/>
      <c r="J1246" s="85"/>
      <c r="K1246" s="85"/>
      <c r="L1246" s="85"/>
      <c r="M1246" s="85"/>
      <c r="N1246" s="85"/>
      <c r="O1246" s="85"/>
      <c r="P1246" s="85"/>
      <c r="Q1246" s="85"/>
      <c r="R1246" s="85"/>
      <c r="S1246" s="85"/>
      <c r="T1246" s="85"/>
      <c r="U1246" s="85"/>
      <c r="V1246" s="85"/>
      <c r="W1246" s="85"/>
      <c r="X1246" s="85"/>
      <c r="Y1246" s="85"/>
      <c r="Z1246" s="85"/>
      <c r="AA1246" s="85"/>
      <c r="AB1246" s="85"/>
      <c r="AC1246" s="85"/>
      <c r="AD1246" s="85"/>
      <c r="AE1246" s="85"/>
      <c r="AF1246" s="85"/>
      <c r="AG1246" s="85"/>
      <c r="AH1246" s="85"/>
      <c r="AI1246" s="85"/>
      <c r="AJ1246" s="85"/>
      <c r="AK1246" s="85"/>
      <c r="AL1246" s="85"/>
      <c r="AM1246" s="85"/>
    </row>
    <row collapsed="false" customFormat="false" customHeight="true" hidden="false" ht="16.2" outlineLevel="0" r="1247">
      <c r="A1247" s="85"/>
      <c r="B1247" s="85"/>
      <c r="C1247" s="85"/>
      <c r="D1247" s="85"/>
      <c r="E1247" s="85"/>
      <c r="F1247" s="85"/>
      <c r="G1247" s="85"/>
      <c r="H1247" s="85"/>
      <c r="I1247" s="85"/>
      <c r="J1247" s="85"/>
      <c r="K1247" s="85"/>
      <c r="L1247" s="85"/>
      <c r="M1247" s="85"/>
      <c r="N1247" s="85"/>
      <c r="O1247" s="85"/>
      <c r="P1247" s="85"/>
      <c r="Q1247" s="85"/>
      <c r="R1247" s="85"/>
      <c r="S1247" s="85"/>
      <c r="T1247" s="85"/>
      <c r="U1247" s="85"/>
      <c r="V1247" s="85"/>
      <c r="W1247" s="85"/>
      <c r="X1247" s="85"/>
      <c r="Y1247" s="85"/>
      <c r="Z1247" s="85"/>
      <c r="AA1247" s="85"/>
      <c r="AB1247" s="85"/>
      <c r="AC1247" s="85"/>
      <c r="AD1247" s="85"/>
      <c r="AE1247" s="85"/>
      <c r="AF1247" s="85"/>
      <c r="AG1247" s="85"/>
      <c r="AH1247" s="85"/>
      <c r="AI1247" s="85"/>
      <c r="AJ1247" s="85"/>
      <c r="AK1247" s="85"/>
      <c r="AL1247" s="85"/>
      <c r="AM1247" s="85"/>
    </row>
    <row collapsed="false" customFormat="false" customHeight="true" hidden="false" ht="16.2" outlineLevel="0" r="1248">
      <c r="A1248" s="85"/>
      <c r="B1248" s="85"/>
      <c r="C1248" s="85"/>
      <c r="D1248" s="85"/>
      <c r="E1248" s="85"/>
      <c r="F1248" s="85"/>
      <c r="G1248" s="85"/>
      <c r="H1248" s="85"/>
      <c r="I1248" s="85"/>
      <c r="J1248" s="85"/>
      <c r="K1248" s="85"/>
      <c r="L1248" s="85"/>
      <c r="M1248" s="85"/>
      <c r="N1248" s="85"/>
      <c r="O1248" s="85"/>
      <c r="P1248" s="85"/>
      <c r="Q1248" s="85"/>
      <c r="R1248" s="85"/>
      <c r="S1248" s="85"/>
      <c r="T1248" s="85"/>
      <c r="U1248" s="85"/>
      <c r="V1248" s="85"/>
      <c r="W1248" s="85"/>
      <c r="X1248" s="85"/>
      <c r="Y1248" s="85"/>
      <c r="Z1248" s="85"/>
      <c r="AA1248" s="85"/>
      <c r="AB1248" s="85"/>
      <c r="AC1248" s="85"/>
      <c r="AD1248" s="85"/>
      <c r="AE1248" s="85"/>
      <c r="AF1248" s="85"/>
      <c r="AG1248" s="85"/>
      <c r="AH1248" s="85"/>
      <c r="AI1248" s="85"/>
      <c r="AJ1248" s="85"/>
      <c r="AK1248" s="85"/>
      <c r="AL1248" s="85"/>
      <c r="AM1248" s="85"/>
    </row>
    <row collapsed="false" customFormat="false" customHeight="true" hidden="false" ht="16.2" outlineLevel="0" r="1249">
      <c r="A1249" s="85"/>
      <c r="B1249" s="85"/>
      <c r="C1249" s="85"/>
      <c r="D1249" s="85"/>
      <c r="E1249" s="85"/>
      <c r="F1249" s="85"/>
      <c r="G1249" s="85"/>
      <c r="H1249" s="85"/>
      <c r="I1249" s="85"/>
      <c r="J1249" s="85"/>
      <c r="K1249" s="85"/>
      <c r="L1249" s="85"/>
      <c r="M1249" s="85"/>
      <c r="N1249" s="85"/>
      <c r="O1249" s="85"/>
      <c r="P1249" s="85"/>
      <c r="Q1249" s="85"/>
      <c r="R1249" s="85"/>
      <c r="S1249" s="85"/>
      <c r="T1249" s="85"/>
      <c r="U1249" s="85"/>
      <c r="V1249" s="85"/>
      <c r="W1249" s="85"/>
      <c r="X1249" s="85"/>
      <c r="Y1249" s="85"/>
      <c r="Z1249" s="85"/>
      <c r="AA1249" s="85"/>
      <c r="AB1249" s="85"/>
      <c r="AC1249" s="85"/>
      <c r="AD1249" s="85"/>
      <c r="AE1249" s="85"/>
      <c r="AF1249" s="85"/>
      <c r="AG1249" s="85"/>
      <c r="AH1249" s="85"/>
      <c r="AI1249" s="85"/>
      <c r="AJ1249" s="85"/>
      <c r="AK1249" s="85"/>
      <c r="AL1249" s="85"/>
      <c r="AM1249" s="85"/>
    </row>
    <row collapsed="false" customFormat="false" customHeight="true" hidden="false" ht="16.2" outlineLevel="0" r="1250">
      <c r="A1250" s="85"/>
      <c r="B1250" s="85"/>
      <c r="C1250" s="85"/>
      <c r="D1250" s="85"/>
      <c r="E1250" s="85"/>
      <c r="F1250" s="85"/>
      <c r="G1250" s="85"/>
      <c r="H1250" s="85"/>
      <c r="I1250" s="85"/>
      <c r="J1250" s="85"/>
      <c r="K1250" s="85"/>
      <c r="L1250" s="85"/>
      <c r="M1250" s="85"/>
      <c r="N1250" s="85"/>
      <c r="O1250" s="85"/>
      <c r="P1250" s="85"/>
      <c r="Q1250" s="85"/>
      <c r="R1250" s="85"/>
      <c r="S1250" s="85"/>
      <c r="T1250" s="85"/>
      <c r="U1250" s="85"/>
      <c r="V1250" s="85"/>
      <c r="W1250" s="85"/>
      <c r="X1250" s="85"/>
      <c r="Y1250" s="85"/>
      <c r="Z1250" s="85"/>
      <c r="AA1250" s="85"/>
      <c r="AB1250" s="85"/>
      <c r="AC1250" s="85"/>
      <c r="AD1250" s="85"/>
      <c r="AE1250" s="85"/>
      <c r="AF1250" s="85"/>
      <c r="AG1250" s="85"/>
      <c r="AH1250" s="85"/>
      <c r="AI1250" s="85"/>
      <c r="AJ1250" s="85"/>
      <c r="AK1250" s="85"/>
      <c r="AL1250" s="85"/>
      <c r="AM1250" s="85"/>
    </row>
    <row collapsed="false" customFormat="false" customHeight="true" hidden="false" ht="16.2" outlineLevel="0" r="1251">
      <c r="A1251" s="85"/>
      <c r="B1251" s="85"/>
      <c r="C1251" s="85"/>
      <c r="D1251" s="85"/>
      <c r="E1251" s="85"/>
      <c r="F1251" s="85"/>
      <c r="G1251" s="85"/>
      <c r="H1251" s="85"/>
      <c r="I1251" s="85"/>
      <c r="J1251" s="85"/>
      <c r="K1251" s="85"/>
      <c r="L1251" s="85"/>
      <c r="M1251" s="85"/>
      <c r="N1251" s="85"/>
      <c r="O1251" s="85"/>
      <c r="P1251" s="85"/>
      <c r="Q1251" s="85"/>
      <c r="R1251" s="85"/>
      <c r="S1251" s="85"/>
      <c r="T1251" s="85"/>
      <c r="U1251" s="85"/>
      <c r="V1251" s="85"/>
      <c r="W1251" s="85"/>
      <c r="X1251" s="85"/>
      <c r="Y1251" s="85"/>
      <c r="Z1251" s="85"/>
      <c r="AA1251" s="85"/>
      <c r="AB1251" s="85"/>
      <c r="AC1251" s="85"/>
      <c r="AD1251" s="85"/>
      <c r="AE1251" s="85"/>
      <c r="AF1251" s="85"/>
      <c r="AG1251" s="85"/>
      <c r="AH1251" s="85"/>
      <c r="AI1251" s="85"/>
      <c r="AJ1251" s="85"/>
      <c r="AK1251" s="85"/>
      <c r="AL1251" s="85"/>
      <c r="AM1251" s="85"/>
    </row>
    <row collapsed="false" customFormat="false" customHeight="true" hidden="false" ht="16.2" outlineLevel="0" r="1252">
      <c r="A1252" s="85"/>
      <c r="B1252" s="85"/>
      <c r="C1252" s="85"/>
      <c r="D1252" s="85"/>
      <c r="E1252" s="85"/>
      <c r="F1252" s="85"/>
      <c r="G1252" s="85"/>
      <c r="H1252" s="85"/>
      <c r="I1252" s="85"/>
      <c r="J1252" s="85"/>
      <c r="K1252" s="85"/>
      <c r="L1252" s="85"/>
      <c r="M1252" s="85"/>
      <c r="N1252" s="85"/>
      <c r="O1252" s="85"/>
      <c r="P1252" s="85"/>
      <c r="Q1252" s="85"/>
      <c r="R1252" s="85"/>
      <c r="S1252" s="85"/>
      <c r="T1252" s="85"/>
      <c r="U1252" s="85"/>
      <c r="V1252" s="85"/>
      <c r="W1252" s="85"/>
      <c r="X1252" s="85"/>
      <c r="Y1252" s="85"/>
      <c r="Z1252" s="85"/>
      <c r="AA1252" s="85"/>
      <c r="AB1252" s="85"/>
      <c r="AC1252" s="85"/>
      <c r="AD1252" s="85"/>
      <c r="AE1252" s="85"/>
      <c r="AF1252" s="85"/>
      <c r="AG1252" s="85"/>
      <c r="AH1252" s="85"/>
      <c r="AI1252" s="85"/>
      <c r="AJ1252" s="85"/>
      <c r="AK1252" s="85"/>
      <c r="AL1252" s="85"/>
      <c r="AM1252" s="85"/>
    </row>
    <row collapsed="false" customFormat="false" customHeight="true" hidden="false" ht="16.2" outlineLevel="0" r="1253">
      <c r="A1253" s="85"/>
      <c r="B1253" s="85"/>
      <c r="C1253" s="85"/>
      <c r="D1253" s="85"/>
      <c r="E1253" s="85"/>
      <c r="F1253" s="85"/>
      <c r="G1253" s="85"/>
      <c r="H1253" s="85"/>
      <c r="I1253" s="85"/>
      <c r="J1253" s="85"/>
      <c r="K1253" s="85"/>
      <c r="L1253" s="85"/>
      <c r="M1253" s="85"/>
      <c r="N1253" s="85"/>
      <c r="O1253" s="85"/>
      <c r="P1253" s="85"/>
      <c r="Q1253" s="85"/>
      <c r="R1253" s="85"/>
      <c r="S1253" s="85"/>
      <c r="T1253" s="85"/>
      <c r="U1253" s="85"/>
      <c r="V1253" s="85"/>
      <c r="W1253" s="85"/>
      <c r="X1253" s="85"/>
      <c r="Y1253" s="85"/>
      <c r="Z1253" s="85"/>
      <c r="AA1253" s="85"/>
      <c r="AB1253" s="85"/>
      <c r="AC1253" s="85"/>
      <c r="AD1253" s="85"/>
      <c r="AE1253" s="85"/>
      <c r="AF1253" s="85"/>
      <c r="AG1253" s="85"/>
      <c r="AH1253" s="85"/>
      <c r="AI1253" s="85"/>
      <c r="AJ1253" s="85"/>
      <c r="AK1253" s="85"/>
      <c r="AL1253" s="85"/>
      <c r="AM1253" s="85"/>
    </row>
    <row collapsed="false" customFormat="false" customHeight="true" hidden="false" ht="16.2" outlineLevel="0" r="1254">
      <c r="A1254" s="85"/>
      <c r="B1254" s="85"/>
      <c r="C1254" s="85"/>
      <c r="D1254" s="85"/>
      <c r="E1254" s="85"/>
      <c r="F1254" s="85"/>
      <c r="G1254" s="85"/>
      <c r="H1254" s="85"/>
      <c r="I1254" s="85"/>
      <c r="J1254" s="85"/>
      <c r="K1254" s="85"/>
      <c r="L1254" s="85"/>
      <c r="M1254" s="85"/>
      <c r="N1254" s="85"/>
      <c r="O1254" s="85"/>
      <c r="P1254" s="85"/>
      <c r="Q1254" s="85"/>
      <c r="R1254" s="85"/>
      <c r="S1254" s="85"/>
      <c r="T1254" s="85"/>
      <c r="U1254" s="85"/>
      <c r="V1254" s="85"/>
      <c r="W1254" s="85"/>
      <c r="X1254" s="85"/>
      <c r="Y1254" s="85"/>
      <c r="Z1254" s="85"/>
      <c r="AA1254" s="85"/>
      <c r="AB1254" s="85"/>
      <c r="AC1254" s="85"/>
      <c r="AD1254" s="85"/>
      <c r="AE1254" s="85"/>
      <c r="AF1254" s="85"/>
      <c r="AG1254" s="85"/>
      <c r="AH1254" s="85"/>
      <c r="AI1254" s="85"/>
      <c r="AJ1254" s="85"/>
      <c r="AK1254" s="85"/>
      <c r="AL1254" s="85"/>
      <c r="AM1254" s="85"/>
    </row>
    <row collapsed="false" customFormat="false" customHeight="true" hidden="false" ht="16.2" outlineLevel="0" r="1255">
      <c r="A1255" s="85"/>
      <c r="B1255" s="85"/>
      <c r="C1255" s="85"/>
      <c r="D1255" s="85"/>
      <c r="E1255" s="85"/>
      <c r="F1255" s="85"/>
      <c r="G1255" s="85"/>
      <c r="H1255" s="85"/>
      <c r="I1255" s="85"/>
      <c r="J1255" s="85"/>
      <c r="K1255" s="85"/>
      <c r="L1255" s="85"/>
      <c r="M1255" s="85"/>
      <c r="N1255" s="85"/>
      <c r="O1255" s="85"/>
      <c r="P1255" s="85"/>
      <c r="Q1255" s="85"/>
      <c r="R1255" s="85"/>
      <c r="S1255" s="85"/>
      <c r="T1255" s="85"/>
      <c r="U1255" s="85"/>
      <c r="V1255" s="85"/>
      <c r="W1255" s="85"/>
      <c r="X1255" s="85"/>
      <c r="Y1255" s="85"/>
      <c r="Z1255" s="85"/>
      <c r="AA1255" s="85"/>
      <c r="AB1255" s="85"/>
      <c r="AC1255" s="85"/>
      <c r="AD1255" s="85"/>
      <c r="AE1255" s="85"/>
      <c r="AF1255" s="85"/>
      <c r="AG1255" s="85"/>
      <c r="AH1255" s="85"/>
      <c r="AI1255" s="85"/>
      <c r="AJ1255" s="85"/>
      <c r="AK1255" s="85"/>
      <c r="AL1255" s="85"/>
      <c r="AM1255" s="85"/>
    </row>
    <row collapsed="false" customFormat="false" customHeight="true" hidden="false" ht="16.2" outlineLevel="0" r="1256">
      <c r="A1256" s="85"/>
      <c r="B1256" s="85"/>
      <c r="C1256" s="85"/>
      <c r="D1256" s="85"/>
      <c r="E1256" s="85"/>
      <c r="F1256" s="85"/>
      <c r="G1256" s="85"/>
      <c r="H1256" s="85"/>
      <c r="I1256" s="85"/>
      <c r="J1256" s="85"/>
      <c r="K1256" s="85"/>
      <c r="L1256" s="85"/>
      <c r="M1256" s="85"/>
      <c r="N1256" s="85"/>
      <c r="O1256" s="85"/>
      <c r="P1256" s="85"/>
      <c r="Q1256" s="85"/>
      <c r="R1256" s="85"/>
      <c r="S1256" s="85"/>
      <c r="T1256" s="85"/>
      <c r="U1256" s="85"/>
      <c r="V1256" s="85"/>
      <c r="W1256" s="85"/>
      <c r="X1256" s="85"/>
      <c r="Y1256" s="85"/>
      <c r="Z1256" s="85"/>
      <c r="AA1256" s="85"/>
      <c r="AB1256" s="85"/>
      <c r="AC1256" s="85"/>
      <c r="AD1256" s="85"/>
      <c r="AE1256" s="85"/>
      <c r="AF1256" s="85"/>
      <c r="AG1256" s="85"/>
      <c r="AH1256" s="85"/>
      <c r="AI1256" s="85"/>
      <c r="AJ1256" s="85"/>
      <c r="AK1256" s="85"/>
      <c r="AL1256" s="85"/>
      <c r="AM1256" s="85"/>
    </row>
    <row collapsed="false" customFormat="false" customHeight="true" hidden="false" ht="16.2" outlineLevel="0" r="1257">
      <c r="A1257" s="85"/>
      <c r="B1257" s="85"/>
      <c r="C1257" s="85"/>
      <c r="D1257" s="85"/>
      <c r="E1257" s="85"/>
      <c r="F1257" s="85"/>
      <c r="G1257" s="85"/>
      <c r="H1257" s="85"/>
      <c r="I1257" s="85"/>
      <c r="J1257" s="85"/>
      <c r="K1257" s="85"/>
      <c r="L1257" s="85"/>
      <c r="M1257" s="85"/>
      <c r="N1257" s="85"/>
      <c r="O1257" s="85"/>
      <c r="P1257" s="85"/>
      <c r="Q1257" s="85"/>
      <c r="R1257" s="85"/>
      <c r="S1257" s="85"/>
      <c r="T1257" s="85"/>
      <c r="U1257" s="85"/>
      <c r="V1257" s="85"/>
      <c r="W1257" s="85"/>
      <c r="X1257" s="85"/>
      <c r="Y1257" s="85"/>
      <c r="Z1257" s="85"/>
      <c r="AA1257" s="85"/>
      <c r="AB1257" s="85"/>
      <c r="AC1257" s="85"/>
      <c r="AD1257" s="85"/>
      <c r="AE1257" s="85"/>
      <c r="AF1257" s="85"/>
      <c r="AG1257" s="85"/>
      <c r="AH1257" s="85"/>
      <c r="AI1257" s="85"/>
      <c r="AJ1257" s="85"/>
      <c r="AK1257" s="85"/>
      <c r="AL1257" s="85"/>
      <c r="AM1257" s="85"/>
    </row>
  </sheetData>
  <mergeCells count="712">
    <mergeCell ref="A5:A9"/>
    <mergeCell ref="B5:B9"/>
    <mergeCell ref="C5:C9"/>
    <mergeCell ref="D5:D9"/>
    <mergeCell ref="E5:E9"/>
    <mergeCell ref="F5:F9"/>
    <mergeCell ref="G5:H6"/>
    <mergeCell ref="I5:J6"/>
    <mergeCell ref="K5:K9"/>
    <mergeCell ref="L5:L9"/>
    <mergeCell ref="M5:AM5"/>
    <mergeCell ref="M6:M8"/>
    <mergeCell ref="N6:N8"/>
    <mergeCell ref="O6:AM6"/>
    <mergeCell ref="G7:G9"/>
    <mergeCell ref="H7:H9"/>
    <mergeCell ref="I7:I9"/>
    <mergeCell ref="J7:J9"/>
    <mergeCell ref="O7:P8"/>
    <mergeCell ref="Q7:R8"/>
    <mergeCell ref="S7:T8"/>
    <mergeCell ref="U7:V8"/>
    <mergeCell ref="W7:X8"/>
    <mergeCell ref="Y7:Z8"/>
    <mergeCell ref="AA7:AB8"/>
    <mergeCell ref="AC7:AD8"/>
    <mergeCell ref="AE7:AF8"/>
    <mergeCell ref="AG7:AH8"/>
    <mergeCell ref="AI7:AJ8"/>
    <mergeCell ref="AK7:AL8"/>
    <mergeCell ref="AM7:AM8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D231:D232"/>
    <mergeCell ref="A233:A234"/>
    <mergeCell ref="D233:D234"/>
    <mergeCell ref="A235:A236"/>
    <mergeCell ref="D235:D236"/>
    <mergeCell ref="A237:A238"/>
    <mergeCell ref="D237:D238"/>
    <mergeCell ref="A239:A240"/>
    <mergeCell ref="D239:D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D257:D258"/>
    <mergeCell ref="A259:A260"/>
    <mergeCell ref="D259:D260"/>
    <mergeCell ref="A261:A262"/>
    <mergeCell ref="D261:D262"/>
    <mergeCell ref="A263:A264"/>
    <mergeCell ref="D263:D264"/>
    <mergeCell ref="A265:A266"/>
    <mergeCell ref="D265:D266"/>
    <mergeCell ref="A267:A268"/>
    <mergeCell ref="D267:D268"/>
    <mergeCell ref="A269:A270"/>
    <mergeCell ref="D269:D270"/>
    <mergeCell ref="A271:A272"/>
    <mergeCell ref="D271:D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D295:D296"/>
    <mergeCell ref="A297:A298"/>
    <mergeCell ref="D297:D298"/>
    <mergeCell ref="A299:A300"/>
    <mergeCell ref="D299:D300"/>
    <mergeCell ref="A301:A302"/>
    <mergeCell ref="D301:D302"/>
    <mergeCell ref="A303:A304"/>
    <mergeCell ref="D303:D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D353:D354"/>
    <mergeCell ref="A355:A356"/>
    <mergeCell ref="D355:D356"/>
    <mergeCell ref="A357:A358"/>
    <mergeCell ref="D357:D358"/>
    <mergeCell ref="A359:A360"/>
    <mergeCell ref="D359:D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D473:D474"/>
    <mergeCell ref="A475:A476"/>
    <mergeCell ref="D475:D476"/>
    <mergeCell ref="A477:A478"/>
    <mergeCell ref="D477:D478"/>
    <mergeCell ref="A479:A480"/>
    <mergeCell ref="D479:D480"/>
    <mergeCell ref="A481:A482"/>
    <mergeCell ref="A483:A484"/>
    <mergeCell ref="D483:D484"/>
    <mergeCell ref="A485:A486"/>
    <mergeCell ref="D485:D486"/>
    <mergeCell ref="A487:A488"/>
    <mergeCell ref="A489:A490"/>
    <mergeCell ref="D489:D490"/>
    <mergeCell ref="A491:A492"/>
    <mergeCell ref="D491:D492"/>
    <mergeCell ref="A493:A494"/>
    <mergeCell ref="D493:D494"/>
    <mergeCell ref="A495:A496"/>
    <mergeCell ref="D495:D496"/>
    <mergeCell ref="A497:A498"/>
    <mergeCell ref="D497:D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D637:D638"/>
    <mergeCell ref="A639:A640"/>
    <mergeCell ref="D639:D640"/>
    <mergeCell ref="A641:A642"/>
    <mergeCell ref="D641:D642"/>
    <mergeCell ref="A643:A644"/>
    <mergeCell ref="D643:D644"/>
    <mergeCell ref="A645:A646"/>
    <mergeCell ref="D645:D646"/>
    <mergeCell ref="A647:A648"/>
    <mergeCell ref="D647:D648"/>
    <mergeCell ref="A649:A650"/>
    <mergeCell ref="A651:A652"/>
    <mergeCell ref="A653:A654"/>
    <mergeCell ref="A655:A656"/>
    <mergeCell ref="A657:A658"/>
    <mergeCell ref="A659:A660"/>
    <mergeCell ref="A661:A662"/>
    <mergeCell ref="A663:A664"/>
    <mergeCell ref="A665:A666"/>
    <mergeCell ref="A667:A668"/>
    <mergeCell ref="A669:A670"/>
    <mergeCell ref="A671:A672"/>
    <mergeCell ref="A673:A674"/>
    <mergeCell ref="A675:A676"/>
    <mergeCell ref="A677:A678"/>
    <mergeCell ref="A679:A680"/>
    <mergeCell ref="A681:A682"/>
    <mergeCell ref="A683:A684"/>
    <mergeCell ref="A685:A686"/>
    <mergeCell ref="A687:A688"/>
    <mergeCell ref="A689:A690"/>
    <mergeCell ref="A691:A692"/>
    <mergeCell ref="A693:A694"/>
    <mergeCell ref="A695:A696"/>
    <mergeCell ref="A697:A698"/>
    <mergeCell ref="A699:A700"/>
    <mergeCell ref="A701:A702"/>
    <mergeCell ref="A703:A704"/>
    <mergeCell ref="A705:A706"/>
    <mergeCell ref="D705:D706"/>
    <mergeCell ref="A707:A708"/>
    <mergeCell ref="D707:D708"/>
    <mergeCell ref="A709:A710"/>
    <mergeCell ref="D709:D710"/>
    <mergeCell ref="A711:A712"/>
    <mergeCell ref="D711:D712"/>
    <mergeCell ref="A713:A714"/>
    <mergeCell ref="D713:D714"/>
    <mergeCell ref="A715:A716"/>
    <mergeCell ref="A717:A718"/>
    <mergeCell ref="A719:A720"/>
    <mergeCell ref="A721:A722"/>
    <mergeCell ref="A723:A724"/>
    <mergeCell ref="A725:A726"/>
    <mergeCell ref="A727:A728"/>
    <mergeCell ref="A729:A730"/>
    <mergeCell ref="A731:A732"/>
    <mergeCell ref="A733:A734"/>
    <mergeCell ref="A735:A736"/>
    <mergeCell ref="A737:A738"/>
    <mergeCell ref="A739:A740"/>
    <mergeCell ref="A741:A742"/>
    <mergeCell ref="A743:A744"/>
    <mergeCell ref="A745:A746"/>
    <mergeCell ref="A747:A748"/>
    <mergeCell ref="A749:A750"/>
    <mergeCell ref="A751:A752"/>
    <mergeCell ref="A753:A754"/>
    <mergeCell ref="A755:A756"/>
    <mergeCell ref="A757:A758"/>
    <mergeCell ref="A759:A760"/>
    <mergeCell ref="A761:A762"/>
    <mergeCell ref="A763:A764"/>
    <mergeCell ref="A765:A766"/>
    <mergeCell ref="A767:A768"/>
    <mergeCell ref="A769:A770"/>
    <mergeCell ref="A771:A772"/>
    <mergeCell ref="A773:A774"/>
    <mergeCell ref="A775:A776"/>
    <mergeCell ref="A777:A778"/>
    <mergeCell ref="A779:A780"/>
    <mergeCell ref="A781:A782"/>
    <mergeCell ref="A783:A784"/>
    <mergeCell ref="A785:A786"/>
    <mergeCell ref="A787:A788"/>
    <mergeCell ref="A789:A790"/>
    <mergeCell ref="A791:A792"/>
    <mergeCell ref="A793:A794"/>
    <mergeCell ref="A795:A796"/>
    <mergeCell ref="A797:A798"/>
    <mergeCell ref="A799:A800"/>
    <mergeCell ref="A801:A802"/>
    <mergeCell ref="A803:A804"/>
    <mergeCell ref="A805:A806"/>
    <mergeCell ref="A807:A808"/>
    <mergeCell ref="A809:A810"/>
    <mergeCell ref="A811:A812"/>
    <mergeCell ref="A813:A814"/>
    <mergeCell ref="A815:A816"/>
    <mergeCell ref="A817:A818"/>
    <mergeCell ref="A819:A820"/>
    <mergeCell ref="A821:A822"/>
    <mergeCell ref="A823:A824"/>
    <mergeCell ref="A825:A826"/>
    <mergeCell ref="A827:A828"/>
    <mergeCell ref="A829:A830"/>
    <mergeCell ref="A831:A832"/>
    <mergeCell ref="A833:A834"/>
    <mergeCell ref="A835:A836"/>
    <mergeCell ref="A837:A838"/>
    <mergeCell ref="A839:A840"/>
    <mergeCell ref="A841:A842"/>
    <mergeCell ref="A843:A844"/>
    <mergeCell ref="A845:A846"/>
    <mergeCell ref="A847:A848"/>
    <mergeCell ref="A849:A850"/>
    <mergeCell ref="A851:A852"/>
    <mergeCell ref="A853:A854"/>
    <mergeCell ref="A855:A856"/>
    <mergeCell ref="A857:A858"/>
    <mergeCell ref="A859:A860"/>
    <mergeCell ref="A861:A862"/>
    <mergeCell ref="A863:A864"/>
    <mergeCell ref="A865:A866"/>
    <mergeCell ref="A867:A868"/>
    <mergeCell ref="A869:A870"/>
    <mergeCell ref="A871:A872"/>
    <mergeCell ref="A873:A874"/>
    <mergeCell ref="A875:A876"/>
    <mergeCell ref="A877:A878"/>
    <mergeCell ref="A879:A880"/>
    <mergeCell ref="A881:A882"/>
    <mergeCell ref="A883:A884"/>
    <mergeCell ref="A885:A886"/>
    <mergeCell ref="A887:A888"/>
    <mergeCell ref="A889:A890"/>
    <mergeCell ref="A891:A892"/>
    <mergeCell ref="A893:A894"/>
    <mergeCell ref="A895:A896"/>
    <mergeCell ref="A897:A898"/>
    <mergeCell ref="D897:D898"/>
    <mergeCell ref="A899:A900"/>
    <mergeCell ref="D899:D900"/>
    <mergeCell ref="A901:A902"/>
    <mergeCell ref="D901:D902"/>
    <mergeCell ref="A903:A904"/>
    <mergeCell ref="D903:D904"/>
    <mergeCell ref="A905:A906"/>
    <mergeCell ref="D905:D906"/>
    <mergeCell ref="A907:A908"/>
    <mergeCell ref="D907:D908"/>
    <mergeCell ref="A909:A910"/>
    <mergeCell ref="D909:D910"/>
    <mergeCell ref="A911:A912"/>
    <mergeCell ref="D911:D912"/>
    <mergeCell ref="A913:A914"/>
    <mergeCell ref="D913:D914"/>
    <mergeCell ref="A915:A916"/>
    <mergeCell ref="D915:D916"/>
    <mergeCell ref="A917:A918"/>
    <mergeCell ref="D917:D918"/>
    <mergeCell ref="A919:A920"/>
    <mergeCell ref="D919:D920"/>
    <mergeCell ref="A921:A922"/>
    <mergeCell ref="D921:D922"/>
    <mergeCell ref="A923:A924"/>
    <mergeCell ref="D923:D924"/>
    <mergeCell ref="A925:A926"/>
    <mergeCell ref="D925:D926"/>
    <mergeCell ref="A927:A928"/>
    <mergeCell ref="D927:D928"/>
    <mergeCell ref="A929:A930"/>
    <mergeCell ref="D929:D930"/>
    <mergeCell ref="A931:A932"/>
    <mergeCell ref="D931:D932"/>
    <mergeCell ref="A933:A934"/>
    <mergeCell ref="D933:D934"/>
    <mergeCell ref="A935:A936"/>
    <mergeCell ref="D935:D936"/>
    <mergeCell ref="A937:A938"/>
    <mergeCell ref="D937:D938"/>
    <mergeCell ref="A939:A940"/>
    <mergeCell ref="A941:A942"/>
    <mergeCell ref="A943:A944"/>
    <mergeCell ref="A945:A946"/>
    <mergeCell ref="A947:A948"/>
    <mergeCell ref="A949:A950"/>
    <mergeCell ref="A951:A952"/>
    <mergeCell ref="A953:A954"/>
    <mergeCell ref="A955:A956"/>
    <mergeCell ref="A957:A958"/>
    <mergeCell ref="A959:A960"/>
    <mergeCell ref="A961:A962"/>
    <mergeCell ref="A963:A964"/>
    <mergeCell ref="A965:A966"/>
    <mergeCell ref="A967:A968"/>
    <mergeCell ref="D967:D968"/>
    <mergeCell ref="A969:A970"/>
    <mergeCell ref="A971:A972"/>
    <mergeCell ref="A973:A974"/>
    <mergeCell ref="A975:A976"/>
    <mergeCell ref="A977:A978"/>
    <mergeCell ref="D977:D978"/>
    <mergeCell ref="A979:A980"/>
    <mergeCell ref="A981:A982"/>
    <mergeCell ref="A983:A984"/>
    <mergeCell ref="A985:A986"/>
    <mergeCell ref="A987:A988"/>
    <mergeCell ref="A989:A990"/>
    <mergeCell ref="A991:A992"/>
    <mergeCell ref="A993:A994"/>
    <mergeCell ref="A995:A996"/>
    <mergeCell ref="A997:A998"/>
    <mergeCell ref="A999:A1000"/>
    <mergeCell ref="A1001:A1002"/>
    <mergeCell ref="A1003:A1004"/>
    <mergeCell ref="A1005:A1006"/>
    <mergeCell ref="A1007:A1008"/>
    <mergeCell ref="A1009:A1010"/>
    <mergeCell ref="A1011:A1012"/>
    <mergeCell ref="A1013:A1014"/>
    <mergeCell ref="A1015:A1016"/>
    <mergeCell ref="A1017:A1018"/>
    <mergeCell ref="A1019:A1020"/>
    <mergeCell ref="A1021:A1022"/>
    <mergeCell ref="A1023:A1024"/>
    <mergeCell ref="A1025:A1026"/>
    <mergeCell ref="A1027:A1028"/>
    <mergeCell ref="A1029:A1030"/>
    <mergeCell ref="A1031:A1032"/>
    <mergeCell ref="A1033:A1034"/>
    <mergeCell ref="A1035:A1036"/>
    <mergeCell ref="A1037:A1038"/>
    <mergeCell ref="A1039:A1040"/>
    <mergeCell ref="A1041:A1042"/>
    <mergeCell ref="A1043:A1044"/>
    <mergeCell ref="A1045:A1046"/>
    <mergeCell ref="A1047:A1048"/>
    <mergeCell ref="A1049:A1050"/>
    <mergeCell ref="A1051:A1052"/>
    <mergeCell ref="A1053:A1054"/>
    <mergeCell ref="A1055:A1056"/>
    <mergeCell ref="A1057:A1058"/>
    <mergeCell ref="A1059:A1060"/>
    <mergeCell ref="A1061:A1062"/>
    <mergeCell ref="D1061:D1062"/>
    <mergeCell ref="A1063:A1064"/>
    <mergeCell ref="A1065:A1066"/>
    <mergeCell ref="A1067:A1068"/>
    <mergeCell ref="A1069:A1070"/>
    <mergeCell ref="A1071:A1072"/>
    <mergeCell ref="A1073:A1074"/>
    <mergeCell ref="A1075:A1076"/>
    <mergeCell ref="A1077:A1078"/>
    <mergeCell ref="A1079:A1080"/>
    <mergeCell ref="A1081:A1082"/>
    <mergeCell ref="A1083:A1084"/>
    <mergeCell ref="A1085:A1086"/>
    <mergeCell ref="A1087:A1088"/>
    <mergeCell ref="A1089:A1090"/>
    <mergeCell ref="A1091:A1092"/>
    <mergeCell ref="A1093:A1094"/>
    <mergeCell ref="A1095:A1096"/>
    <mergeCell ref="A1097:A1098"/>
    <mergeCell ref="A1099:A1100"/>
    <mergeCell ref="A1101:A1102"/>
    <mergeCell ref="A1103:A1104"/>
    <mergeCell ref="A1105:A1106"/>
    <mergeCell ref="A1107:A1108"/>
    <mergeCell ref="A1109:A1110"/>
    <mergeCell ref="A1111:A1112"/>
    <mergeCell ref="A1113:A1114"/>
    <mergeCell ref="A1115:A1116"/>
    <mergeCell ref="A1117:A1118"/>
    <mergeCell ref="A1119:A1120"/>
    <mergeCell ref="A1121:A1122"/>
    <mergeCell ref="A1123:A1124"/>
    <mergeCell ref="A1125:A1126"/>
    <mergeCell ref="A1127:A1128"/>
    <mergeCell ref="A1129:A1130"/>
    <mergeCell ref="A1131:A1132"/>
    <mergeCell ref="A1133:A1134"/>
    <mergeCell ref="A1135:A1136"/>
    <mergeCell ref="A1137:A1138"/>
    <mergeCell ref="A1139:A1140"/>
    <mergeCell ref="A1141:A1142"/>
    <mergeCell ref="A1143:A1144"/>
    <mergeCell ref="A1145:A1146"/>
    <mergeCell ref="A1147:A1148"/>
    <mergeCell ref="A1149:A1150"/>
    <mergeCell ref="A1151:A1152"/>
    <mergeCell ref="A1153:A1154"/>
    <mergeCell ref="A1155:A1156"/>
    <mergeCell ref="A1157:A1158"/>
    <mergeCell ref="A1159:A1160"/>
    <mergeCell ref="A1161:A1162"/>
    <mergeCell ref="A1163:A1164"/>
    <mergeCell ref="A1165:A1166"/>
    <mergeCell ref="A1167:A1168"/>
    <mergeCell ref="A1169:A1170"/>
    <mergeCell ref="A1171:A1172"/>
    <mergeCell ref="A1173:A1174"/>
    <mergeCell ref="A1175:A1176"/>
    <mergeCell ref="A1177:A1178"/>
    <mergeCell ref="A1179:A1180"/>
    <mergeCell ref="A1181:A1182"/>
    <mergeCell ref="A1183:A1184"/>
    <mergeCell ref="A1185:A1186"/>
    <mergeCell ref="A1187:A1188"/>
    <mergeCell ref="A1189:A1190"/>
    <mergeCell ref="A1191:A1192"/>
    <mergeCell ref="A1193:A1194"/>
    <mergeCell ref="A1195:A1196"/>
    <mergeCell ref="A1197:A1198"/>
    <mergeCell ref="A1199:A1200"/>
    <mergeCell ref="A1201:A1202"/>
    <mergeCell ref="A1203:A1204"/>
    <mergeCell ref="A1205:A1206"/>
    <mergeCell ref="A1207:A1208"/>
    <mergeCell ref="A1209:A1210"/>
    <mergeCell ref="A1211:A1212"/>
    <mergeCell ref="A1213:A1214"/>
    <mergeCell ref="A1215:A1216"/>
    <mergeCell ref="A1217:A1218"/>
    <mergeCell ref="A1219:A1220"/>
    <mergeCell ref="A1221:A1222"/>
    <mergeCell ref="A1223:A1224"/>
    <mergeCell ref="A1225:A1226"/>
    <mergeCell ref="A1227:A1228"/>
    <mergeCell ref="A1229:A1230"/>
    <mergeCell ref="A1231:A1232"/>
    <mergeCell ref="A1233:A1234"/>
    <mergeCell ref="A1235:A123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2013-12-08T19:17:02.00Z</dcterms:created>
  <dc:creator>mnsh</dc:creator>
  <cp:lastModifiedBy>USER</cp:lastModifiedBy>
  <cp:lastPrinted>2014-07-09T10:52:27.00Z</cp:lastPrinted>
  <dcterms:modified xsi:type="dcterms:W3CDTF">2014-07-10T17:30:30.00Z</dcterms:modified>
  <cp:revision>0</cp:revision>
</cp:coreProperties>
</file>